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Y:\Frogs\Pomona - Holt\5. Finance\2. CDLAC- TCAC\1. Application\3. Final\TAB 40 - Joint TCAC-CDLAC Workbook\"/>
    </mc:Choice>
  </mc:AlternateContent>
  <xr:revisionPtr revIDLastSave="0" documentId="13_ncr:1_{E9456202-478B-43BC-A445-FB2FA1548455}" xr6:coauthVersionLast="47" xr6:coauthVersionMax="47" xr10:uidLastSave="{00000000-0000-0000-0000-000000000000}"/>
  <bookViews>
    <workbookView xWindow="960" yWindow="1815" windowWidth="21600" windowHeight="1356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Forma'!$A$1:$AH$71</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Forma'!$A$1:$AH$71</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E10" i="4"/>
  <c r="E5" i="4"/>
  <c r="E94" i="4" l="1"/>
  <c r="AB88" i="27" l="1"/>
  <c r="V88" i="27"/>
  <c r="O88" i="27"/>
  <c r="I88" i="27"/>
  <c r="AG62" i="7" l="1"/>
  <c r="AG64" i="7" s="1"/>
  <c r="AI16" i="7"/>
  <c r="AK16" i="7"/>
  <c r="AM16" i="7"/>
  <c r="AO16" i="7"/>
  <c r="AQ16" i="7"/>
  <c r="AS16" i="7"/>
  <c r="AU16" i="7"/>
  <c r="AW16" i="7"/>
  <c r="AY16" i="7"/>
  <c r="BA16" i="7"/>
  <c r="BC16" i="7"/>
  <c r="BE16" i="7"/>
  <c r="BG16" i="7"/>
  <c r="BI16" i="7"/>
  <c r="BK16" i="7"/>
  <c r="BM16" i="7"/>
  <c r="BO16" i="7"/>
  <c r="BQ16" i="7"/>
  <c r="BS16" i="7"/>
  <c r="BU16" i="7"/>
  <c r="BW16" i="7"/>
  <c r="BY16" i="7"/>
  <c r="CA16" i="7"/>
  <c r="CC16" i="7"/>
  <c r="CE16" i="7"/>
  <c r="CG16" i="7"/>
  <c r="CI16" i="7"/>
  <c r="CK16" i="7"/>
  <c r="CM16" i="7"/>
  <c r="CO16" i="7"/>
  <c r="CQ16" i="7"/>
  <c r="CS16" i="7"/>
  <c r="CU16" i="7"/>
  <c r="CW16" i="7"/>
  <c r="CY16" i="7"/>
  <c r="DA16" i="7"/>
  <c r="DC16" i="7"/>
  <c r="DE16" i="7"/>
  <c r="DG16" i="7"/>
  <c r="DI16" i="7"/>
  <c r="DK16" i="7"/>
  <c r="DM16" i="7"/>
  <c r="DO16" i="7"/>
  <c r="DQ16" i="7"/>
  <c r="DS16" i="7"/>
  <c r="DU16" i="7"/>
  <c r="DW16" i="7"/>
  <c r="DY16" i="7"/>
  <c r="EA16" i="7"/>
  <c r="EC16" i="7"/>
  <c r="EE16" i="7"/>
  <c r="EG16" i="7"/>
  <c r="EI16" i="7"/>
  <c r="EK16" i="7"/>
  <c r="EM16" i="7"/>
  <c r="EO16" i="7"/>
  <c r="EQ16" i="7"/>
  <c r="ES16" i="7"/>
  <c r="EU16" i="7"/>
  <c r="EW16" i="7"/>
  <c r="EY16" i="7"/>
  <c r="FA16" i="7"/>
  <c r="FC16" i="7"/>
  <c r="FE16" i="7"/>
  <c r="FG16" i="7"/>
  <c r="FI16" i="7"/>
  <c r="FK16" i="7"/>
  <c r="FM16" i="7"/>
  <c r="FO16" i="7"/>
  <c r="FQ16" i="7"/>
  <c r="FS16" i="7"/>
  <c r="FU16" i="7"/>
  <c r="FW16" i="7"/>
  <c r="FY16" i="7"/>
  <c r="GA16" i="7"/>
  <c r="GC16" i="7"/>
  <c r="GE16" i="7"/>
  <c r="GG16" i="7"/>
  <c r="GI16" i="7"/>
  <c r="GK16" i="7"/>
  <c r="GM16" i="7"/>
  <c r="GO16" i="7"/>
  <c r="GQ16" i="7"/>
  <c r="GS16" i="7"/>
  <c r="GU16" i="7"/>
  <c r="GW16" i="7"/>
  <c r="GY16" i="7"/>
  <c r="HA16" i="7"/>
  <c r="HC16" i="7"/>
  <c r="HE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NS16" i="7"/>
  <c r="NU16" i="7"/>
  <c r="NW16" i="7"/>
  <c r="NY16" i="7"/>
  <c r="OA16" i="7"/>
  <c r="OC16" i="7"/>
  <c r="OE16" i="7"/>
  <c r="OG16" i="7"/>
  <c r="OI16" i="7"/>
  <c r="OK16" i="7"/>
  <c r="OM16" i="7"/>
  <c r="OO16" i="7"/>
  <c r="OQ16" i="7"/>
  <c r="OS16" i="7"/>
  <c r="OU16" i="7"/>
  <c r="OW16" i="7"/>
  <c r="OY16" i="7"/>
  <c r="PA16" i="7"/>
  <c r="PC16" i="7"/>
  <c r="PE16" i="7"/>
  <c r="PG16" i="7"/>
  <c r="PI16" i="7"/>
  <c r="PK16" i="7"/>
  <c r="PM16" i="7"/>
  <c r="PO16" i="7"/>
  <c r="PQ16" i="7"/>
  <c r="PS16" i="7"/>
  <c r="PU16" i="7"/>
  <c r="PW16" i="7"/>
  <c r="PY16" i="7"/>
  <c r="QA16" i="7"/>
  <c r="QC16" i="7"/>
  <c r="QE16" i="7"/>
  <c r="QG16" i="7"/>
  <c r="QI16" i="7"/>
  <c r="QK16" i="7"/>
  <c r="QM16" i="7"/>
  <c r="QO16" i="7"/>
  <c r="QQ16" i="7"/>
  <c r="QS16" i="7"/>
  <c r="QU16" i="7"/>
  <c r="QW16" i="7"/>
  <c r="QY16" i="7"/>
  <c r="RA16" i="7"/>
  <c r="RC16" i="7"/>
  <c r="RE16" i="7"/>
  <c r="RG16" i="7"/>
  <c r="RI16" i="7"/>
  <c r="RK16" i="7"/>
  <c r="RM16" i="7"/>
  <c r="RO16" i="7"/>
  <c r="RQ16" i="7"/>
  <c r="RS16" i="7"/>
  <c r="RU16" i="7"/>
  <c r="RW16" i="7"/>
  <c r="RY16" i="7"/>
  <c r="SA16" i="7"/>
  <c r="SC16" i="7"/>
  <c r="SE16" i="7"/>
  <c r="SG16" i="7"/>
  <c r="SI16" i="7"/>
  <c r="SK16" i="7"/>
  <c r="SM16" i="7"/>
  <c r="SO16" i="7"/>
  <c r="SQ16" i="7"/>
  <c r="SS16" i="7"/>
  <c r="SU16" i="7"/>
  <c r="SW16" i="7"/>
  <c r="SY16" i="7"/>
  <c r="TA16" i="7"/>
  <c r="TC16" i="7"/>
  <c r="TE16" i="7"/>
  <c r="TG16" i="7"/>
  <c r="TI16" i="7"/>
  <c r="TK16" i="7"/>
  <c r="TM16" i="7"/>
  <c r="TO16" i="7"/>
  <c r="TQ16" i="7"/>
  <c r="TS16" i="7"/>
  <c r="TU16" i="7"/>
  <c r="TW16" i="7"/>
  <c r="TY16" i="7"/>
  <c r="UA16" i="7"/>
  <c r="UC16" i="7"/>
  <c r="UE16" i="7"/>
  <c r="UG16" i="7"/>
  <c r="UI16" i="7"/>
  <c r="UK16" i="7"/>
  <c r="UM16" i="7"/>
  <c r="UO16" i="7"/>
  <c r="UQ16" i="7"/>
  <c r="US16" i="7"/>
  <c r="UU16" i="7"/>
  <c r="UW16" i="7"/>
  <c r="UY16" i="7"/>
  <c r="VA16" i="7"/>
  <c r="VC16" i="7"/>
  <c r="VE16" i="7"/>
  <c r="VG16" i="7"/>
  <c r="VI16" i="7"/>
  <c r="VK16" i="7"/>
  <c r="VM16" i="7"/>
  <c r="VO16" i="7"/>
  <c r="VQ16" i="7"/>
  <c r="VS16" i="7"/>
  <c r="VU16" i="7"/>
  <c r="VW16" i="7"/>
  <c r="VY16" i="7"/>
  <c r="WA16" i="7"/>
  <c r="WC16" i="7"/>
  <c r="WE16" i="7"/>
  <c r="WG16" i="7"/>
  <c r="WI16" i="7"/>
  <c r="WK16" i="7"/>
  <c r="WM16" i="7"/>
  <c r="WO16" i="7"/>
  <c r="WQ16" i="7"/>
  <c r="WS16" i="7"/>
  <c r="WU16" i="7"/>
  <c r="WW16" i="7"/>
  <c r="WY16" i="7"/>
  <c r="XA16" i="7"/>
  <c r="XC16" i="7"/>
  <c r="XE16" i="7"/>
  <c r="XG16" i="7"/>
  <c r="XI16" i="7"/>
  <c r="XK16" i="7"/>
  <c r="XM16" i="7"/>
  <c r="XO16" i="7"/>
  <c r="XQ16" i="7"/>
  <c r="XS16" i="7"/>
  <c r="XU16" i="7"/>
  <c r="XW16" i="7"/>
  <c r="XY16" i="7"/>
  <c r="YA16" i="7"/>
  <c r="YC16" i="7"/>
  <c r="YE16" i="7"/>
  <c r="YG16" i="7"/>
  <c r="YI16" i="7"/>
  <c r="YK16" i="7"/>
  <c r="YM16" i="7"/>
  <c r="YO16" i="7"/>
  <c r="YQ16" i="7"/>
  <c r="YS16" i="7"/>
  <c r="YU16" i="7"/>
  <c r="YW16" i="7"/>
  <c r="YY16" i="7"/>
  <c r="ZA16" i="7"/>
  <c r="ZC16" i="7"/>
  <c r="ZE16" i="7"/>
  <c r="ZG16" i="7"/>
  <c r="ZI16" i="7"/>
  <c r="ZK16" i="7"/>
  <c r="ZM16" i="7"/>
  <c r="ZO16" i="7"/>
  <c r="ZQ16" i="7"/>
  <c r="ZS16" i="7"/>
  <c r="ZU16" i="7"/>
  <c r="ZW16" i="7"/>
  <c r="ZY16" i="7"/>
  <c r="AAA16" i="7"/>
  <c r="AAC16" i="7"/>
  <c r="AAE16" i="7"/>
  <c r="AAG16" i="7"/>
  <c r="AAI16" i="7"/>
  <c r="AAK16" i="7"/>
  <c r="AAM16" i="7"/>
  <c r="AAO16" i="7"/>
  <c r="AAQ16" i="7"/>
  <c r="AAS16" i="7"/>
  <c r="AAU16" i="7"/>
  <c r="AAW16" i="7"/>
  <c r="AAY16" i="7"/>
  <c r="ABA16" i="7"/>
  <c r="ABC16" i="7"/>
  <c r="ABE16" i="7"/>
  <c r="ABG16" i="7"/>
  <c r="ABI16" i="7"/>
  <c r="ABK16" i="7"/>
  <c r="ABM16" i="7"/>
  <c r="ABO16" i="7"/>
  <c r="ABQ16" i="7"/>
  <c r="ABS16" i="7"/>
  <c r="ABU16" i="7"/>
  <c r="ABW16" i="7"/>
  <c r="ABY16" i="7"/>
  <c r="ACA16" i="7"/>
  <c r="ACC16" i="7"/>
  <c r="ACE16" i="7"/>
  <c r="ACG16" i="7"/>
  <c r="ACI16" i="7"/>
  <c r="ACK16" i="7"/>
  <c r="ACM16" i="7"/>
  <c r="ACO16" i="7"/>
  <c r="ACQ16" i="7"/>
  <c r="ACS16" i="7"/>
  <c r="ACU16" i="7"/>
  <c r="ACW16" i="7"/>
  <c r="ACY16" i="7"/>
  <c r="ADA16" i="7"/>
  <c r="ADC16" i="7"/>
  <c r="ADE16" i="7"/>
  <c r="ADG16" i="7"/>
  <c r="ADI16" i="7"/>
  <c r="ADK16" i="7"/>
  <c r="ADM16" i="7"/>
  <c r="ADO16" i="7"/>
  <c r="ADQ16" i="7"/>
  <c r="ADS16" i="7"/>
  <c r="ADU16" i="7"/>
  <c r="ADW16" i="7"/>
  <c r="ADY16" i="7"/>
  <c r="AEA16" i="7"/>
  <c r="AEC16" i="7"/>
  <c r="AEE16" i="7"/>
  <c r="AEG16" i="7"/>
  <c r="AEI16" i="7"/>
  <c r="AEK16" i="7"/>
  <c r="AEM16" i="7"/>
  <c r="AEO16" i="7"/>
  <c r="AEQ16" i="7"/>
  <c r="AES16" i="7"/>
  <c r="AEU16" i="7"/>
  <c r="AEW16" i="7"/>
  <c r="AEY16" i="7"/>
  <c r="AFA16" i="7"/>
  <c r="AFC16" i="7"/>
  <c r="AFE16" i="7"/>
  <c r="AFG16" i="7"/>
  <c r="AFI16" i="7"/>
  <c r="AFK16" i="7"/>
  <c r="AFM16" i="7"/>
  <c r="AFO16" i="7"/>
  <c r="AFQ16" i="7"/>
  <c r="AFS16" i="7"/>
  <c r="AFU16" i="7"/>
  <c r="AFW16" i="7"/>
  <c r="AFY16" i="7"/>
  <c r="AGA16" i="7"/>
  <c r="AGC16" i="7"/>
  <c r="AGE16" i="7"/>
  <c r="AGG16" i="7"/>
  <c r="AGI16" i="7"/>
  <c r="AGK16" i="7"/>
  <c r="AGM16" i="7"/>
  <c r="AGO16" i="7"/>
  <c r="AGQ16" i="7"/>
  <c r="AGS16" i="7"/>
  <c r="AGU16" i="7"/>
  <c r="AGW16" i="7"/>
  <c r="AGY16" i="7"/>
  <c r="AHA16" i="7"/>
  <c r="AHC16" i="7"/>
  <c r="AHE16" i="7"/>
  <c r="AHG16" i="7"/>
  <c r="AHI16" i="7"/>
  <c r="AHK16" i="7"/>
  <c r="AHM16" i="7"/>
  <c r="AHO16" i="7"/>
  <c r="AHQ16" i="7"/>
  <c r="AHS16" i="7"/>
  <c r="AHU16" i="7"/>
  <c r="AHW16" i="7"/>
  <c r="AHY16" i="7"/>
  <c r="AIA16" i="7"/>
  <c r="AIC16" i="7"/>
  <c r="AIE16" i="7"/>
  <c r="AIG16" i="7"/>
  <c r="AII16" i="7"/>
  <c r="AIK16" i="7"/>
  <c r="AIM16" i="7"/>
  <c r="AIO16" i="7"/>
  <c r="AIQ16" i="7"/>
  <c r="AIS16" i="7"/>
  <c r="AIU16" i="7"/>
  <c r="AIW16" i="7"/>
  <c r="AIY16" i="7"/>
  <c r="AJA16" i="7"/>
  <c r="AJC16" i="7"/>
  <c r="AJE16" i="7"/>
  <c r="AJG16" i="7"/>
  <c r="AJI16" i="7"/>
  <c r="AJK16" i="7"/>
  <c r="AJM16" i="7"/>
  <c r="AJO16" i="7"/>
  <c r="AJQ16" i="7"/>
  <c r="AJS16" i="7"/>
  <c r="AJU16" i="7"/>
  <c r="AJW16" i="7"/>
  <c r="AJY16" i="7"/>
  <c r="AKA16" i="7"/>
  <c r="AKC16" i="7"/>
  <c r="AKE16" i="7"/>
  <c r="AKG16" i="7"/>
  <c r="AKI16" i="7"/>
  <c r="AKK16" i="7"/>
  <c r="AKM16" i="7"/>
  <c r="AKO16" i="7"/>
  <c r="AKQ16" i="7"/>
  <c r="AKS16" i="7"/>
  <c r="AKU16" i="7"/>
  <c r="AKW16" i="7"/>
  <c r="AKY16" i="7"/>
  <c r="ALA16" i="7"/>
  <c r="ALC16" i="7"/>
  <c r="ALE16" i="7"/>
  <c r="ALG16" i="7"/>
  <c r="ALI16" i="7"/>
  <c r="ALK16" i="7"/>
  <c r="ALM16" i="7"/>
  <c r="ALO16" i="7"/>
  <c r="ALQ16" i="7"/>
  <c r="ALS16" i="7"/>
  <c r="ALU16" i="7"/>
  <c r="ALW16" i="7"/>
  <c r="ALY16" i="7"/>
  <c r="AMA16" i="7"/>
  <c r="AMC16" i="7"/>
  <c r="AME16" i="7"/>
  <c r="AMG16" i="7"/>
  <c r="AMI16" i="7"/>
  <c r="AMK16" i="7"/>
  <c r="AMM16" i="7"/>
  <c r="AMO16" i="7"/>
  <c r="AMQ16" i="7"/>
  <c r="AMS16" i="7"/>
  <c r="AMU16" i="7"/>
  <c r="AMW16" i="7"/>
  <c r="AMY16" i="7"/>
  <c r="ANA16" i="7"/>
  <c r="ANC16" i="7"/>
  <c r="ANE16" i="7"/>
  <c r="ANG16" i="7"/>
  <c r="ANI16" i="7"/>
  <c r="ANK16" i="7"/>
  <c r="ANM16" i="7"/>
  <c r="ANO16" i="7"/>
  <c r="ANQ16" i="7"/>
  <c r="ANS16" i="7"/>
  <c r="ANU16" i="7"/>
  <c r="ANW16" i="7"/>
  <c r="ANY16" i="7"/>
  <c r="AOA16" i="7"/>
  <c r="AOC16" i="7"/>
  <c r="AOE16" i="7"/>
  <c r="AOG16" i="7"/>
  <c r="AOI16" i="7"/>
  <c r="AOK16" i="7"/>
  <c r="AOM16" i="7"/>
  <c r="AOO16" i="7"/>
  <c r="AOQ16" i="7"/>
  <c r="AOS16" i="7"/>
  <c r="AOU16" i="7"/>
  <c r="AOW16" i="7"/>
  <c r="AOY16" i="7"/>
  <c r="APA16" i="7"/>
  <c r="APC16" i="7"/>
  <c r="APE16" i="7"/>
  <c r="APG16" i="7"/>
  <c r="API16" i="7"/>
  <c r="APK16" i="7"/>
  <c r="APM16" i="7"/>
  <c r="APO16" i="7"/>
  <c r="APQ16" i="7"/>
  <c r="APS16" i="7"/>
  <c r="APU16" i="7"/>
  <c r="APW16" i="7"/>
  <c r="APY16" i="7"/>
  <c r="AQA16" i="7"/>
  <c r="AQC16" i="7"/>
  <c r="AQE16" i="7"/>
  <c r="AQG16" i="7"/>
  <c r="AQI16" i="7"/>
  <c r="AQK16" i="7"/>
  <c r="AQM16" i="7"/>
  <c r="AQO16" i="7"/>
  <c r="AQQ16" i="7"/>
  <c r="AQS16" i="7"/>
  <c r="AQU16" i="7"/>
  <c r="AQW16" i="7"/>
  <c r="AQY16" i="7"/>
  <c r="ARA16" i="7"/>
  <c r="ARC16" i="7"/>
  <c r="ARE16" i="7"/>
  <c r="ARG16" i="7"/>
  <c r="ARI16" i="7"/>
  <c r="ARK16" i="7"/>
  <c r="ARM16" i="7"/>
  <c r="ARO16" i="7"/>
  <c r="ARQ16" i="7"/>
  <c r="ARS16" i="7"/>
  <c r="ARU16" i="7"/>
  <c r="ARW16" i="7"/>
  <c r="ARY16" i="7"/>
  <c r="ASA16" i="7"/>
  <c r="ASC16" i="7"/>
  <c r="ASE16" i="7"/>
  <c r="ASG16" i="7"/>
  <c r="ASI16" i="7"/>
  <c r="ASK16" i="7"/>
  <c r="ASM16" i="7"/>
  <c r="ASO16" i="7"/>
  <c r="ASQ16" i="7"/>
  <c r="ASS16" i="7"/>
  <c r="ASU16" i="7"/>
  <c r="ASW16" i="7"/>
  <c r="ASY16" i="7"/>
  <c r="ATA16" i="7"/>
  <c r="ATC16" i="7"/>
  <c r="ATE16" i="7"/>
  <c r="ATG16" i="7"/>
  <c r="ATI16" i="7"/>
  <c r="ATK16" i="7"/>
  <c r="ATM16" i="7"/>
  <c r="ATO16" i="7"/>
  <c r="ATQ16" i="7"/>
  <c r="ATS16" i="7"/>
  <c r="ATU16" i="7"/>
  <c r="ATW16" i="7"/>
  <c r="ATY16" i="7"/>
  <c r="AUA16" i="7"/>
  <c r="AUC16" i="7"/>
  <c r="AUE16" i="7"/>
  <c r="AUG16" i="7"/>
  <c r="AUI16" i="7"/>
  <c r="AUK16" i="7"/>
  <c r="AUM16" i="7"/>
  <c r="AUO16" i="7"/>
  <c r="AUQ16" i="7"/>
  <c r="AUS16" i="7"/>
  <c r="AUU16" i="7"/>
  <c r="AUW16" i="7"/>
  <c r="AUY16" i="7"/>
  <c r="AVA16" i="7"/>
  <c r="AVC16" i="7"/>
  <c r="AVE16" i="7"/>
  <c r="AVG16" i="7"/>
  <c r="AVI16" i="7"/>
  <c r="AVK16" i="7"/>
  <c r="AVM16" i="7"/>
  <c r="AVO16" i="7"/>
  <c r="AVQ16" i="7"/>
  <c r="AVS16" i="7"/>
  <c r="AVU16" i="7"/>
  <c r="AVW16" i="7"/>
  <c r="AVY16" i="7"/>
  <c r="AWA16" i="7"/>
  <c r="AWC16" i="7"/>
  <c r="AWE16" i="7"/>
  <c r="AWG16" i="7"/>
  <c r="AWI16" i="7"/>
  <c r="AWK16" i="7"/>
  <c r="AWM16" i="7"/>
  <c r="AWO16" i="7"/>
  <c r="AWQ16" i="7"/>
  <c r="AWS16" i="7"/>
  <c r="AWU16" i="7"/>
  <c r="AWW16" i="7"/>
  <c r="AWY16" i="7"/>
  <c r="AXA16" i="7"/>
  <c r="AXC16" i="7"/>
  <c r="AXE16" i="7"/>
  <c r="AXG16" i="7"/>
  <c r="AXI16" i="7"/>
  <c r="AXK16" i="7"/>
  <c r="AXM16" i="7"/>
  <c r="AXO16" i="7"/>
  <c r="AXQ16" i="7"/>
  <c r="AXS16" i="7"/>
  <c r="AXU16" i="7"/>
  <c r="AXW16" i="7"/>
  <c r="AXY16" i="7"/>
  <c r="AYA16" i="7"/>
  <c r="AYC16" i="7"/>
  <c r="AYE16" i="7"/>
  <c r="AYG16" i="7"/>
  <c r="AYI16" i="7"/>
  <c r="AYK16" i="7"/>
  <c r="AYM16" i="7"/>
  <c r="AYO16" i="7"/>
  <c r="AYQ16" i="7"/>
  <c r="AYS16" i="7"/>
  <c r="AYU16" i="7"/>
  <c r="AYW16" i="7"/>
  <c r="AYY16" i="7"/>
  <c r="AZA16" i="7"/>
  <c r="AZC16" i="7"/>
  <c r="AZE16" i="7"/>
  <c r="AZG16" i="7"/>
  <c r="AZI16" i="7"/>
  <c r="AZK16" i="7"/>
  <c r="AZM16" i="7"/>
  <c r="AZO16" i="7"/>
  <c r="AZQ16" i="7"/>
  <c r="AZS16" i="7"/>
  <c r="AZU16" i="7"/>
  <c r="AZW16" i="7"/>
  <c r="AZY16" i="7"/>
  <c r="BAA16" i="7"/>
  <c r="BAC16" i="7"/>
  <c r="BAE16" i="7"/>
  <c r="BAG16" i="7"/>
  <c r="BAI16" i="7"/>
  <c r="BAK16" i="7"/>
  <c r="BAM16" i="7"/>
  <c r="BAO16" i="7"/>
  <c r="BAQ16" i="7"/>
  <c r="BAS16" i="7"/>
  <c r="BAU16" i="7"/>
  <c r="BAW16" i="7"/>
  <c r="BAY16" i="7"/>
  <c r="BBA16" i="7"/>
  <c r="BBC16" i="7"/>
  <c r="BBE16" i="7"/>
  <c r="BBG16" i="7"/>
  <c r="BBI16" i="7"/>
  <c r="BBK16" i="7"/>
  <c r="BBM16" i="7"/>
  <c r="BBO16" i="7"/>
  <c r="BBQ16" i="7"/>
  <c r="BBS16" i="7"/>
  <c r="BBU16" i="7"/>
  <c r="BBW16" i="7"/>
  <c r="BBY16" i="7"/>
  <c r="BCA16" i="7"/>
  <c r="BCC16" i="7"/>
  <c r="BCE16" i="7"/>
  <c r="BCG16" i="7"/>
  <c r="BCI16" i="7"/>
  <c r="BCK16" i="7"/>
  <c r="BCM16" i="7"/>
  <c r="BCO16" i="7"/>
  <c r="BCQ16" i="7"/>
  <c r="BCS16" i="7"/>
  <c r="BCU16" i="7"/>
  <c r="BCW16" i="7"/>
  <c r="BCY16" i="7"/>
  <c r="BDA16" i="7"/>
  <c r="BDC16" i="7"/>
  <c r="BDE16" i="7"/>
  <c r="BDG16" i="7"/>
  <c r="BDI16" i="7"/>
  <c r="BDK16" i="7"/>
  <c r="BDM16" i="7"/>
  <c r="BDO16" i="7"/>
  <c r="BDQ16" i="7"/>
  <c r="BDS16" i="7"/>
  <c r="BDU16" i="7"/>
  <c r="BDW16" i="7"/>
  <c r="BDY16" i="7"/>
  <c r="BEA16" i="7"/>
  <c r="BEC16" i="7"/>
  <c r="BEE16" i="7"/>
  <c r="BEG16" i="7"/>
  <c r="BEI16" i="7"/>
  <c r="BEK16" i="7"/>
  <c r="BEM16" i="7"/>
  <c r="BEO16" i="7"/>
  <c r="BEQ16" i="7"/>
  <c r="BES16" i="7"/>
  <c r="BEU16" i="7"/>
  <c r="BEW16" i="7"/>
  <c r="BEY16" i="7"/>
  <c r="BFA16" i="7"/>
  <c r="BFC16" i="7"/>
  <c r="BFE16" i="7"/>
  <c r="BFG16" i="7"/>
  <c r="BFI16" i="7"/>
  <c r="BFK16" i="7"/>
  <c r="BFM16" i="7"/>
  <c r="BFO16" i="7"/>
  <c r="BFQ16" i="7"/>
  <c r="BFS16" i="7"/>
  <c r="BFU16" i="7"/>
  <c r="BFW16" i="7"/>
  <c r="BFY16" i="7"/>
  <c r="BGA16" i="7"/>
  <c r="BGC16" i="7"/>
  <c r="BGE16" i="7"/>
  <c r="BGG16" i="7"/>
  <c r="BGI16" i="7"/>
  <c r="BGK16" i="7"/>
  <c r="BGM16" i="7"/>
  <c r="BGO16" i="7"/>
  <c r="BGQ16" i="7"/>
  <c r="BGS16" i="7"/>
  <c r="BGU16" i="7"/>
  <c r="BGW16" i="7"/>
  <c r="BGY16" i="7"/>
  <c r="BHA16" i="7"/>
  <c r="BHC16" i="7"/>
  <c r="BHE16" i="7"/>
  <c r="BHG16" i="7"/>
  <c r="BHI16" i="7"/>
  <c r="BHK16" i="7"/>
  <c r="BHM16" i="7"/>
  <c r="BHO16" i="7"/>
  <c r="BHQ16" i="7"/>
  <c r="BHS16" i="7"/>
  <c r="BHU16" i="7"/>
  <c r="BHW16" i="7"/>
  <c r="BHY16" i="7"/>
  <c r="BIA16" i="7"/>
  <c r="BIC16" i="7"/>
  <c r="BIE16" i="7"/>
  <c r="BIG16" i="7"/>
  <c r="BII16" i="7"/>
  <c r="BIK16" i="7"/>
  <c r="BIM16" i="7"/>
  <c r="BIO16" i="7"/>
  <c r="BIQ16" i="7"/>
  <c r="BIS16" i="7"/>
  <c r="BIU16" i="7"/>
  <c r="BIW16" i="7"/>
  <c r="BIY16" i="7"/>
  <c r="BJA16" i="7"/>
  <c r="BJC16" i="7"/>
  <c r="BJE16" i="7"/>
  <c r="BJG16" i="7"/>
  <c r="BJI16" i="7"/>
  <c r="BJK16" i="7"/>
  <c r="BJM16" i="7"/>
  <c r="BJO16" i="7"/>
  <c r="BJQ16" i="7"/>
  <c r="BJS16" i="7"/>
  <c r="BJU16" i="7"/>
  <c r="BJW16" i="7"/>
  <c r="BJY16" i="7"/>
  <c r="BKA16" i="7"/>
  <c r="BKC16" i="7"/>
  <c r="BKE16" i="7"/>
  <c r="BKG16" i="7"/>
  <c r="BKI16" i="7"/>
  <c r="BKK16" i="7"/>
  <c r="BKM16" i="7"/>
  <c r="BKO16" i="7"/>
  <c r="BKQ16" i="7"/>
  <c r="BKS16" i="7"/>
  <c r="BKU16" i="7"/>
  <c r="BKW16" i="7"/>
  <c r="BKY16" i="7"/>
  <c r="BLA16" i="7"/>
  <c r="BLC16" i="7"/>
  <c r="BLE16" i="7"/>
  <c r="BLG16" i="7"/>
  <c r="BLI16" i="7"/>
  <c r="BLK16" i="7"/>
  <c r="BLM16" i="7"/>
  <c r="BLO16" i="7"/>
  <c r="BLQ16" i="7"/>
  <c r="BLS16" i="7"/>
  <c r="BLU16" i="7"/>
  <c r="BLW16" i="7"/>
  <c r="BLY16" i="7"/>
  <c r="BMA16" i="7"/>
  <c r="BMC16" i="7"/>
  <c r="BME16" i="7"/>
  <c r="BMG16" i="7"/>
  <c r="BMI16" i="7"/>
  <c r="BMK16" i="7"/>
  <c r="BMM16" i="7"/>
  <c r="BMO16" i="7"/>
  <c r="BMQ16" i="7"/>
  <c r="BMS16" i="7"/>
  <c r="BMU16" i="7"/>
  <c r="BMW16" i="7"/>
  <c r="BMY16" i="7"/>
  <c r="BNA16" i="7"/>
  <c r="BNC16" i="7"/>
  <c r="BNE16" i="7"/>
  <c r="BNG16" i="7"/>
  <c r="BNI16" i="7"/>
  <c r="BNK16" i="7"/>
  <c r="BNM16" i="7"/>
  <c r="BNO16" i="7"/>
  <c r="BNQ16" i="7"/>
  <c r="BNS16" i="7"/>
  <c r="BNU16" i="7"/>
  <c r="BNW16" i="7"/>
  <c r="BNY16" i="7"/>
  <c r="BOA16" i="7"/>
  <c r="BOC16" i="7"/>
  <c r="BOE16" i="7"/>
  <c r="BOG16" i="7"/>
  <c r="BOI16" i="7"/>
  <c r="BOK16" i="7"/>
  <c r="BOM16" i="7"/>
  <c r="BOO16" i="7"/>
  <c r="BOQ16" i="7"/>
  <c r="BOS16" i="7"/>
  <c r="BOU16" i="7"/>
  <c r="BOW16" i="7"/>
  <c r="BOY16" i="7"/>
  <c r="BPA16" i="7"/>
  <c r="BPC16" i="7"/>
  <c r="BPE16" i="7"/>
  <c r="BPG16" i="7"/>
  <c r="BPI16" i="7"/>
  <c r="BPK16" i="7"/>
  <c r="BPM16" i="7"/>
  <c r="BPO16" i="7"/>
  <c r="BPQ16" i="7"/>
  <c r="BPS16" i="7"/>
  <c r="BPU16" i="7"/>
  <c r="BPW16" i="7"/>
  <c r="BPY16" i="7"/>
  <c r="BQA16" i="7"/>
  <c r="BQC16" i="7"/>
  <c r="BQE16" i="7"/>
  <c r="BQG16" i="7"/>
  <c r="BQI16" i="7"/>
  <c r="BQK16" i="7"/>
  <c r="BQM16" i="7"/>
  <c r="BQO16" i="7"/>
  <c r="BQQ16" i="7"/>
  <c r="BQS16" i="7"/>
  <c r="BQU16" i="7"/>
  <c r="BQW16" i="7"/>
  <c r="BQY16" i="7"/>
  <c r="BRA16" i="7"/>
  <c r="BRC16" i="7"/>
  <c r="BRE16" i="7"/>
  <c r="BRG16" i="7"/>
  <c r="BRI16" i="7"/>
  <c r="BRK16" i="7"/>
  <c r="BRM16" i="7"/>
  <c r="BRO16" i="7"/>
  <c r="BRQ16" i="7"/>
  <c r="BRS16" i="7"/>
  <c r="BRU16" i="7"/>
  <c r="BRW16" i="7"/>
  <c r="BRY16" i="7"/>
  <c r="BSA16" i="7"/>
  <c r="BSC16" i="7"/>
  <c r="BSE16" i="7"/>
  <c r="BSG16" i="7"/>
  <c r="BSI16" i="7"/>
  <c r="BSK16" i="7"/>
  <c r="BSM16" i="7"/>
  <c r="BSO16" i="7"/>
  <c r="BSQ16" i="7"/>
  <c r="BSS16" i="7"/>
  <c r="BSU16" i="7"/>
  <c r="BSW16" i="7"/>
  <c r="BSY16" i="7"/>
  <c r="BTA16" i="7"/>
  <c r="BTC16" i="7"/>
  <c r="BTE16" i="7"/>
  <c r="BTG16" i="7"/>
  <c r="BTI16" i="7"/>
  <c r="BTK16" i="7"/>
  <c r="BTM16" i="7"/>
  <c r="BTO16" i="7"/>
  <c r="BTQ16" i="7"/>
  <c r="BTS16" i="7"/>
  <c r="BTU16" i="7"/>
  <c r="BTW16" i="7"/>
  <c r="BTY16" i="7"/>
  <c r="BUA16" i="7"/>
  <c r="BUC16" i="7"/>
  <c r="BUE16" i="7"/>
  <c r="BUG16" i="7"/>
  <c r="BUI16" i="7"/>
  <c r="BUK16" i="7"/>
  <c r="BUM16" i="7"/>
  <c r="BUO16" i="7"/>
  <c r="BUQ16" i="7"/>
  <c r="BUS16" i="7"/>
  <c r="BUU16" i="7"/>
  <c r="BUW16" i="7"/>
  <c r="BUY16" i="7"/>
  <c r="BVA16" i="7"/>
  <c r="BVC16" i="7"/>
  <c r="BVE16" i="7"/>
  <c r="BVG16" i="7"/>
  <c r="BVI16" i="7"/>
  <c r="BVK16" i="7"/>
  <c r="BVM16" i="7"/>
  <c r="BVO16" i="7"/>
  <c r="BVQ16" i="7"/>
  <c r="BVS16" i="7"/>
  <c r="BVU16" i="7"/>
  <c r="BVW16" i="7"/>
  <c r="BVY16" i="7"/>
  <c r="BWA16" i="7"/>
  <c r="BWC16" i="7"/>
  <c r="BWE16" i="7"/>
  <c r="BWG16" i="7"/>
  <c r="BWI16" i="7"/>
  <c r="BWK16" i="7"/>
  <c r="BWM16" i="7"/>
  <c r="BWO16" i="7"/>
  <c r="BWQ16" i="7"/>
  <c r="BWS16" i="7"/>
  <c r="BWU16" i="7"/>
  <c r="BWW16" i="7"/>
  <c r="BWY16" i="7"/>
  <c r="BXA16" i="7"/>
  <c r="BXC16" i="7"/>
  <c r="BXE16" i="7"/>
  <c r="BXG16" i="7"/>
  <c r="BXI16" i="7"/>
  <c r="BXK16" i="7"/>
  <c r="BXM16" i="7"/>
  <c r="BXO16" i="7"/>
  <c r="BXQ16" i="7"/>
  <c r="BXS16" i="7"/>
  <c r="BXU16" i="7"/>
  <c r="BXW16" i="7"/>
  <c r="BXY16" i="7"/>
  <c r="BYA16" i="7"/>
  <c r="BYC16" i="7"/>
  <c r="BYE16" i="7"/>
  <c r="BYG16" i="7"/>
  <c r="BYI16" i="7"/>
  <c r="BYK16" i="7"/>
  <c r="BYM16" i="7"/>
  <c r="BYO16" i="7"/>
  <c r="BYQ16" i="7"/>
  <c r="BYS16" i="7"/>
  <c r="BYU16" i="7"/>
  <c r="BYW16" i="7"/>
  <c r="BYY16" i="7"/>
  <c r="BZA16" i="7"/>
  <c r="BZC16" i="7"/>
  <c r="BZE16" i="7"/>
  <c r="BZG16" i="7"/>
  <c r="BZI16" i="7"/>
  <c r="BZK16" i="7"/>
  <c r="BZM16" i="7"/>
  <c r="BZO16" i="7"/>
  <c r="BZQ16" i="7"/>
  <c r="BZS16" i="7"/>
  <c r="BZU16" i="7"/>
  <c r="BZW16" i="7"/>
  <c r="BZY16" i="7"/>
  <c r="CAA16" i="7"/>
  <c r="CAC16" i="7"/>
  <c r="CAE16" i="7"/>
  <c r="CAG16" i="7"/>
  <c r="CAI16" i="7"/>
  <c r="CAK16" i="7"/>
  <c r="CAM16" i="7"/>
  <c r="CAO16" i="7"/>
  <c r="CAQ16" i="7"/>
  <c r="CAS16" i="7"/>
  <c r="CAU16" i="7"/>
  <c r="CAW16" i="7"/>
  <c r="CAY16" i="7"/>
  <c r="CBA16" i="7"/>
  <c r="CBC16" i="7"/>
  <c r="CBE16" i="7"/>
  <c r="CBG16" i="7"/>
  <c r="CBI16" i="7"/>
  <c r="CBK16" i="7"/>
  <c r="CBM16" i="7"/>
  <c r="CBO16" i="7"/>
  <c r="CBQ16" i="7"/>
  <c r="CBS16" i="7"/>
  <c r="CBU16" i="7"/>
  <c r="CBW16" i="7"/>
  <c r="CBY16" i="7"/>
  <c r="CCA16" i="7"/>
  <c r="CCC16" i="7"/>
  <c r="CCE16" i="7"/>
  <c r="CCG16" i="7"/>
  <c r="CCI16" i="7"/>
  <c r="CCK16" i="7"/>
  <c r="CCM16" i="7"/>
  <c r="CCO16" i="7"/>
  <c r="CCQ16" i="7"/>
  <c r="CCS16" i="7"/>
  <c r="CCU16" i="7"/>
  <c r="CCW16" i="7"/>
  <c r="CCY16" i="7"/>
  <c r="CDA16" i="7"/>
  <c r="CDC16" i="7"/>
  <c r="CDE16" i="7"/>
  <c r="CDG16" i="7"/>
  <c r="CDI16" i="7"/>
  <c r="CDK16" i="7"/>
  <c r="CDM16" i="7"/>
  <c r="CDO16" i="7"/>
  <c r="CDQ16" i="7"/>
  <c r="CDS16" i="7"/>
  <c r="CDU16" i="7"/>
  <c r="CDW16" i="7"/>
  <c r="CDY16" i="7"/>
  <c r="CEA16" i="7"/>
  <c r="CEC16" i="7"/>
  <c r="CEE16" i="7"/>
  <c r="CEG16" i="7"/>
  <c r="CEI16" i="7"/>
  <c r="CEK16" i="7"/>
  <c r="CEM16" i="7"/>
  <c r="CEO16" i="7"/>
  <c r="CEQ16" i="7"/>
  <c r="CES16" i="7"/>
  <c r="CEU16" i="7"/>
  <c r="CEW16" i="7"/>
  <c r="CEY16" i="7"/>
  <c r="CFA16" i="7"/>
  <c r="CFC16" i="7"/>
  <c r="CFE16" i="7"/>
  <c r="CFG16" i="7"/>
  <c r="CFI16" i="7"/>
  <c r="CFK16" i="7"/>
  <c r="CFM16" i="7"/>
  <c r="CFO16" i="7"/>
  <c r="CFQ16" i="7"/>
  <c r="CFS16" i="7"/>
  <c r="CFU16" i="7"/>
  <c r="CFW16" i="7"/>
  <c r="CFY16" i="7"/>
  <c r="CGA16" i="7"/>
  <c r="CGC16" i="7"/>
  <c r="CGE16" i="7"/>
  <c r="CGG16" i="7"/>
  <c r="CGI16" i="7"/>
  <c r="CGK16" i="7"/>
  <c r="CGM16" i="7"/>
  <c r="CGO16" i="7"/>
  <c r="CGQ16" i="7"/>
  <c r="CGS16" i="7"/>
  <c r="CGU16" i="7"/>
  <c r="CGW16" i="7"/>
  <c r="CGY16" i="7"/>
  <c r="CHA16" i="7"/>
  <c r="CHC16" i="7"/>
  <c r="CHE16" i="7"/>
  <c r="CHG16" i="7"/>
  <c r="CHI16" i="7"/>
  <c r="CHK16" i="7"/>
  <c r="CHM16" i="7"/>
  <c r="CHO16" i="7"/>
  <c r="CHQ16" i="7"/>
  <c r="CHS16" i="7"/>
  <c r="CHU16" i="7"/>
  <c r="CHW16" i="7"/>
  <c r="CHY16" i="7"/>
  <c r="CIA16" i="7"/>
  <c r="CIC16" i="7"/>
  <c r="CIE16" i="7"/>
  <c r="CIG16" i="7"/>
  <c r="CII16" i="7"/>
  <c r="CIK16" i="7"/>
  <c r="CIM16" i="7"/>
  <c r="CIO16" i="7"/>
  <c r="CIQ16" i="7"/>
  <c r="CIS16" i="7"/>
  <c r="CIU16" i="7"/>
  <c r="CIW16" i="7"/>
  <c r="CIY16" i="7"/>
  <c r="CJA16" i="7"/>
  <c r="CJC16" i="7"/>
  <c r="CJE16" i="7"/>
  <c r="CJG16" i="7"/>
  <c r="CJI16" i="7"/>
  <c r="CJK16" i="7"/>
  <c r="CJM16" i="7"/>
  <c r="CJO16" i="7"/>
  <c r="CJQ16" i="7"/>
  <c r="CJS16" i="7"/>
  <c r="CJU16" i="7"/>
  <c r="CJW16" i="7"/>
  <c r="CJY16" i="7"/>
  <c r="CKA16" i="7"/>
  <c r="CKC16" i="7"/>
  <c r="CKE16" i="7"/>
  <c r="CKG16" i="7"/>
  <c r="CKI16" i="7"/>
  <c r="CKK16" i="7"/>
  <c r="CKM16" i="7"/>
  <c r="CKO16" i="7"/>
  <c r="CKQ16" i="7"/>
  <c r="CKS16" i="7"/>
  <c r="CKU16" i="7"/>
  <c r="CKW16" i="7"/>
  <c r="CKY16" i="7"/>
  <c r="CLA16" i="7"/>
  <c r="CLC16" i="7"/>
  <c r="CLE16" i="7"/>
  <c r="CLG16" i="7"/>
  <c r="CLI16" i="7"/>
  <c r="CLK16" i="7"/>
  <c r="CLM16" i="7"/>
  <c r="CLO16" i="7"/>
  <c r="CLQ16" i="7"/>
  <c r="CLS16" i="7"/>
  <c r="CLU16" i="7"/>
  <c r="CLW16" i="7"/>
  <c r="CLY16" i="7"/>
  <c r="CMA16" i="7"/>
  <c r="CMC16" i="7"/>
  <c r="CME16" i="7"/>
  <c r="CMG16" i="7"/>
  <c r="CMI16" i="7"/>
  <c r="CMK16" i="7"/>
  <c r="CMM16" i="7"/>
  <c r="CMO16" i="7"/>
  <c r="CMQ16" i="7"/>
  <c r="CMS16" i="7"/>
  <c r="CMU16" i="7"/>
  <c r="CMW16" i="7"/>
  <c r="CMY16" i="7"/>
  <c r="CNA16" i="7"/>
  <c r="CNC16" i="7"/>
  <c r="CNE16" i="7"/>
  <c r="CNG16" i="7"/>
  <c r="CNI16" i="7"/>
  <c r="CNK16" i="7"/>
  <c r="CNM16" i="7"/>
  <c r="CNO16" i="7"/>
  <c r="CNQ16" i="7"/>
  <c r="CNS16" i="7"/>
  <c r="CNU16" i="7"/>
  <c r="CNW16" i="7"/>
  <c r="CNY16" i="7"/>
  <c r="COA16" i="7"/>
  <c r="COC16" i="7"/>
  <c r="COE16" i="7"/>
  <c r="COG16" i="7"/>
  <c r="COI16" i="7"/>
  <c r="COK16" i="7"/>
  <c r="COM16" i="7"/>
  <c r="COO16" i="7"/>
  <c r="COQ16" i="7"/>
  <c r="COS16" i="7"/>
  <c r="COU16" i="7"/>
  <c r="COW16" i="7"/>
  <c r="COY16" i="7"/>
  <c r="CPA16" i="7"/>
  <c r="CPC16" i="7"/>
  <c r="CPE16" i="7"/>
  <c r="CPG16" i="7"/>
  <c r="CPI16" i="7"/>
  <c r="CPK16" i="7"/>
  <c r="CPM16" i="7"/>
  <c r="CPO16" i="7"/>
  <c r="CPQ16" i="7"/>
  <c r="CPS16" i="7"/>
  <c r="CPU16" i="7"/>
  <c r="CPW16" i="7"/>
  <c r="CPY16" i="7"/>
  <c r="CQA16" i="7"/>
  <c r="CQC16" i="7"/>
  <c r="CQE16" i="7"/>
  <c r="CQG16" i="7"/>
  <c r="CQI16" i="7"/>
  <c r="CQK16" i="7"/>
  <c r="CQM16" i="7"/>
  <c r="CQO16" i="7"/>
  <c r="CQQ16" i="7"/>
  <c r="CQS16" i="7"/>
  <c r="CQU16" i="7"/>
  <c r="CQW16" i="7"/>
  <c r="CQY16" i="7"/>
  <c r="CRA16" i="7"/>
  <c r="CRC16" i="7"/>
  <c r="CRE16" i="7"/>
  <c r="CRG16" i="7"/>
  <c r="CRI16" i="7"/>
  <c r="CRK16" i="7"/>
  <c r="CRM16" i="7"/>
  <c r="CRO16" i="7"/>
  <c r="CRQ16" i="7"/>
  <c r="CRS16" i="7"/>
  <c r="CRU16" i="7"/>
  <c r="CRW16" i="7"/>
  <c r="CRY16" i="7"/>
  <c r="CSA16" i="7"/>
  <c r="CSC16" i="7"/>
  <c r="CSE16" i="7"/>
  <c r="CSG16" i="7"/>
  <c r="CSI16" i="7"/>
  <c r="CSK16" i="7"/>
  <c r="CSM16" i="7"/>
  <c r="CSO16" i="7"/>
  <c r="CSQ16" i="7"/>
  <c r="CSS16" i="7"/>
  <c r="CSU16" i="7"/>
  <c r="CSW16" i="7"/>
  <c r="CSY16" i="7"/>
  <c r="CTA16" i="7"/>
  <c r="CTC16" i="7"/>
  <c r="CTE16" i="7"/>
  <c r="CTG16" i="7"/>
  <c r="CTI16" i="7"/>
  <c r="CTK16" i="7"/>
  <c r="CTM16" i="7"/>
  <c r="CTO16" i="7"/>
  <c r="CTQ16" i="7"/>
  <c r="CTS16" i="7"/>
  <c r="CTU16" i="7"/>
  <c r="CTW16" i="7"/>
  <c r="CTY16" i="7"/>
  <c r="CUA16" i="7"/>
  <c r="CUC16" i="7"/>
  <c r="CUE16" i="7"/>
  <c r="CUG16" i="7"/>
  <c r="CUI16" i="7"/>
  <c r="CUK16" i="7"/>
  <c r="CUM16" i="7"/>
  <c r="CUO16" i="7"/>
  <c r="CUQ16" i="7"/>
  <c r="CUS16" i="7"/>
  <c r="CUU16" i="7"/>
  <c r="CUW16" i="7"/>
  <c r="CUY16" i="7"/>
  <c r="CVA16" i="7"/>
  <c r="CVC16" i="7"/>
  <c r="CVE16" i="7"/>
  <c r="CVG16" i="7"/>
  <c r="CVI16" i="7"/>
  <c r="CVK16" i="7"/>
  <c r="CVM16" i="7"/>
  <c r="CVO16" i="7"/>
  <c r="CVQ16" i="7"/>
  <c r="CVS16" i="7"/>
  <c r="CVU16" i="7"/>
  <c r="CVW16" i="7"/>
  <c r="CVY16" i="7"/>
  <c r="CWA16" i="7"/>
  <c r="CWC16" i="7"/>
  <c r="CWE16" i="7"/>
  <c r="CWG16" i="7"/>
  <c r="CWI16" i="7"/>
  <c r="CWK16" i="7"/>
  <c r="CWM16" i="7"/>
  <c r="CWO16" i="7"/>
  <c r="CWQ16" i="7"/>
  <c r="CWS16" i="7"/>
  <c r="CWU16" i="7"/>
  <c r="CWW16" i="7"/>
  <c r="CWY16" i="7"/>
  <c r="CXA16" i="7"/>
  <c r="CXC16" i="7"/>
  <c r="CXE16" i="7"/>
  <c r="CXG16" i="7"/>
  <c r="CXI16" i="7"/>
  <c r="CXK16" i="7"/>
  <c r="CXM16" i="7"/>
  <c r="CXO16" i="7"/>
  <c r="CXQ16" i="7"/>
  <c r="CXS16" i="7"/>
  <c r="CXU16" i="7"/>
  <c r="CXW16" i="7"/>
  <c r="CXY16" i="7"/>
  <c r="CYA16" i="7"/>
  <c r="CYC16" i="7"/>
  <c r="CYE16" i="7"/>
  <c r="CYG16" i="7"/>
  <c r="CYI16" i="7"/>
  <c r="CYK16" i="7"/>
  <c r="CYM16" i="7"/>
  <c r="CYO16" i="7"/>
  <c r="CYQ16" i="7"/>
  <c r="CYS16" i="7"/>
  <c r="CYU16" i="7"/>
  <c r="CYW16" i="7"/>
  <c r="CYY16" i="7"/>
  <c r="CZA16" i="7"/>
  <c r="CZC16" i="7"/>
  <c r="CZE16" i="7"/>
  <c r="CZG16" i="7"/>
  <c r="CZI16" i="7"/>
  <c r="CZK16" i="7"/>
  <c r="CZM16" i="7"/>
  <c r="CZO16" i="7"/>
  <c r="CZQ16" i="7"/>
  <c r="CZS16" i="7"/>
  <c r="CZU16" i="7"/>
  <c r="CZW16" i="7"/>
  <c r="CZY16" i="7"/>
  <c r="DAA16" i="7"/>
  <c r="DAC16" i="7"/>
  <c r="DAE16" i="7"/>
  <c r="DAG16" i="7"/>
  <c r="DAI16" i="7"/>
  <c r="DAK16" i="7"/>
  <c r="DAM16" i="7"/>
  <c r="DAO16" i="7"/>
  <c r="DAQ16" i="7"/>
  <c r="DAS16" i="7"/>
  <c r="DAU16" i="7"/>
  <c r="DAW16" i="7"/>
  <c r="DAY16" i="7"/>
  <c r="DBA16" i="7"/>
  <c r="DBC16" i="7"/>
  <c r="DBE16" i="7"/>
  <c r="DBG16" i="7"/>
  <c r="DBI16" i="7"/>
  <c r="DBK16" i="7"/>
  <c r="DBM16" i="7"/>
  <c r="DBO16" i="7"/>
  <c r="DBQ16" i="7"/>
  <c r="DBS16" i="7"/>
  <c r="DBU16" i="7"/>
  <c r="DBW16" i="7"/>
  <c r="DBY16" i="7"/>
  <c r="DCA16" i="7"/>
  <c r="DCC16" i="7"/>
  <c r="DCE16" i="7"/>
  <c r="DCG16" i="7"/>
  <c r="DCI16" i="7"/>
  <c r="DCK16" i="7"/>
  <c r="DCM16" i="7"/>
  <c r="DCO16" i="7"/>
  <c r="DCQ16" i="7"/>
  <c r="DCS16" i="7"/>
  <c r="DCU16" i="7"/>
  <c r="DCW16" i="7"/>
  <c r="DCY16" i="7"/>
  <c r="DDA16" i="7"/>
  <c r="DDC16" i="7"/>
  <c r="DDE16" i="7"/>
  <c r="DDG16" i="7"/>
  <c r="DDI16" i="7"/>
  <c r="DDK16" i="7"/>
  <c r="DDM16" i="7"/>
  <c r="DDO16" i="7"/>
  <c r="DDQ16" i="7"/>
  <c r="DDS16" i="7"/>
  <c r="DDU16" i="7"/>
  <c r="DDW16" i="7"/>
  <c r="DDY16" i="7"/>
  <c r="DEA16" i="7"/>
  <c r="DEC16" i="7"/>
  <c r="DEE16" i="7"/>
  <c r="DEG16" i="7"/>
  <c r="DEI16" i="7"/>
  <c r="DEK16" i="7"/>
  <c r="DEM16" i="7"/>
  <c r="DEO16" i="7"/>
  <c r="DEQ16" i="7"/>
  <c r="DES16" i="7"/>
  <c r="DEU16" i="7"/>
  <c r="DEW16" i="7"/>
  <c r="DEY16" i="7"/>
  <c r="DFA16" i="7"/>
  <c r="DFC16" i="7"/>
  <c r="DFE16" i="7"/>
  <c r="DFG16" i="7"/>
  <c r="DFI16" i="7"/>
  <c r="DFK16" i="7"/>
  <c r="DFM16" i="7"/>
  <c r="DFO16" i="7"/>
  <c r="DFQ16" i="7"/>
  <c r="DFS16" i="7"/>
  <c r="DFU16" i="7"/>
  <c r="DFW16" i="7"/>
  <c r="DFY16" i="7"/>
  <c r="DGA16" i="7"/>
  <c r="DGC16" i="7"/>
  <c r="DGE16" i="7"/>
  <c r="DGG16" i="7"/>
  <c r="DGI16" i="7"/>
  <c r="DGK16" i="7"/>
  <c r="DGM16" i="7"/>
  <c r="DGO16" i="7"/>
  <c r="DGQ16" i="7"/>
  <c r="DGS16" i="7"/>
  <c r="DGU16" i="7"/>
  <c r="DGW16" i="7"/>
  <c r="DGY16" i="7"/>
  <c r="DHA16" i="7"/>
  <c r="DHC16" i="7"/>
  <c r="DHE16" i="7"/>
  <c r="DHG16" i="7"/>
  <c r="DHI16" i="7"/>
  <c r="DHK16" i="7"/>
  <c r="DHM16" i="7"/>
  <c r="DHO16" i="7"/>
  <c r="DHQ16" i="7"/>
  <c r="DHS16" i="7"/>
  <c r="DHU16" i="7"/>
  <c r="DHW16" i="7"/>
  <c r="DHY16" i="7"/>
  <c r="DIA16" i="7"/>
  <c r="DIC16" i="7"/>
  <c r="DIE16" i="7"/>
  <c r="DIG16" i="7"/>
  <c r="DII16" i="7"/>
  <c r="DIK16" i="7"/>
  <c r="DIM16" i="7"/>
  <c r="DIO16" i="7"/>
  <c r="DIQ16" i="7"/>
  <c r="DIS16" i="7"/>
  <c r="DIU16" i="7"/>
  <c r="DIW16" i="7"/>
  <c r="DIY16" i="7"/>
  <c r="DJA16" i="7"/>
  <c r="DJC16" i="7"/>
  <c r="DJE16" i="7"/>
  <c r="DJG16" i="7"/>
  <c r="DJI16" i="7"/>
  <c r="DJK16" i="7"/>
  <c r="DJM16" i="7"/>
  <c r="DJO16" i="7"/>
  <c r="DJQ16" i="7"/>
  <c r="DJS16" i="7"/>
  <c r="DJU16" i="7"/>
  <c r="DJW16" i="7"/>
  <c r="DJY16" i="7"/>
  <c r="DKA16" i="7"/>
  <c r="DKC16" i="7"/>
  <c r="DKE16" i="7"/>
  <c r="DKG16" i="7"/>
  <c r="DKI16" i="7"/>
  <c r="DKK16" i="7"/>
  <c r="DKM16" i="7"/>
  <c r="DKO16" i="7"/>
  <c r="DKQ16" i="7"/>
  <c r="DKS16" i="7"/>
  <c r="DKU16" i="7"/>
  <c r="DKW16" i="7"/>
  <c r="DKY16" i="7"/>
  <c r="DLA16" i="7"/>
  <c r="DLC16" i="7"/>
  <c r="DLE16" i="7"/>
  <c r="DLG16" i="7"/>
  <c r="DLI16" i="7"/>
  <c r="DLK16" i="7"/>
  <c r="DLM16" i="7"/>
  <c r="DLO16" i="7"/>
  <c r="DLQ16" i="7"/>
  <c r="DLS16" i="7"/>
  <c r="DLU16" i="7"/>
  <c r="DLW16" i="7"/>
  <c r="DLY16" i="7"/>
  <c r="DMA16" i="7"/>
  <c r="DMC16" i="7"/>
  <c r="DME16" i="7"/>
  <c r="DMG16" i="7"/>
  <c r="DMI16" i="7"/>
  <c r="DMK16" i="7"/>
  <c r="DMM16" i="7"/>
  <c r="DMO16" i="7"/>
  <c r="DMQ16" i="7"/>
  <c r="DMS16" i="7"/>
  <c r="DMU16" i="7"/>
  <c r="DMW16" i="7"/>
  <c r="DMY16" i="7"/>
  <c r="DNA16" i="7"/>
  <c r="DNC16" i="7"/>
  <c r="DNE16" i="7"/>
  <c r="DNG16" i="7"/>
  <c r="DNI16" i="7"/>
  <c r="DNK16" i="7"/>
  <c r="DNM16" i="7"/>
  <c r="DNO16" i="7"/>
  <c r="DNQ16" i="7"/>
  <c r="DNS16" i="7"/>
  <c r="DNU16" i="7"/>
  <c r="DNW16" i="7"/>
  <c r="DNY16" i="7"/>
  <c r="DOA16" i="7"/>
  <c r="DOC16" i="7"/>
  <c r="DOE16" i="7"/>
  <c r="DOG16" i="7"/>
  <c r="DOI16" i="7"/>
  <c r="DOK16" i="7"/>
  <c r="DOM16" i="7"/>
  <c r="DOO16" i="7"/>
  <c r="DOQ16" i="7"/>
  <c r="DOS16" i="7"/>
  <c r="DOU16" i="7"/>
  <c r="DOW16" i="7"/>
  <c r="DOY16" i="7"/>
  <c r="DPA16" i="7"/>
  <c r="DPC16" i="7"/>
  <c r="DPE16" i="7"/>
  <c r="DPG16" i="7"/>
  <c r="DPI16" i="7"/>
  <c r="DPK16" i="7"/>
  <c r="DPM16" i="7"/>
  <c r="DPO16" i="7"/>
  <c r="DPQ16" i="7"/>
  <c r="DPS16" i="7"/>
  <c r="DPU16" i="7"/>
  <c r="DPW16" i="7"/>
  <c r="DPY16" i="7"/>
  <c r="DQA16" i="7"/>
  <c r="DQC16" i="7"/>
  <c r="DQE16" i="7"/>
  <c r="DQG16" i="7"/>
  <c r="DQI16" i="7"/>
  <c r="DQK16" i="7"/>
  <c r="DQM16" i="7"/>
  <c r="DQO16" i="7"/>
  <c r="DQQ16" i="7"/>
  <c r="DQS16" i="7"/>
  <c r="DQU16" i="7"/>
  <c r="DQW16" i="7"/>
  <c r="DQY16" i="7"/>
  <c r="DRA16" i="7"/>
  <c r="DRC16" i="7"/>
  <c r="DRE16" i="7"/>
  <c r="DRG16" i="7"/>
  <c r="DRI16" i="7"/>
  <c r="DRK16" i="7"/>
  <c r="DRM16" i="7"/>
  <c r="DRO16" i="7"/>
  <c r="DRQ16" i="7"/>
  <c r="DRS16" i="7"/>
  <c r="DRU16" i="7"/>
  <c r="DRW16" i="7"/>
  <c r="DRY16" i="7"/>
  <c r="DSA16" i="7"/>
  <c r="DSC16" i="7"/>
  <c r="DSE16" i="7"/>
  <c r="DSG16" i="7"/>
  <c r="DSI16" i="7"/>
  <c r="DSK16" i="7"/>
  <c r="DSM16" i="7"/>
  <c r="DSO16" i="7"/>
  <c r="DSQ16" i="7"/>
  <c r="DSS16" i="7"/>
  <c r="DSU16" i="7"/>
  <c r="DSW16" i="7"/>
  <c r="DSY16" i="7"/>
  <c r="DTA16" i="7"/>
  <c r="DTC16" i="7"/>
  <c r="DTE16" i="7"/>
  <c r="DTG16" i="7"/>
  <c r="DTI16" i="7"/>
  <c r="DTK16" i="7"/>
  <c r="DTM16" i="7"/>
  <c r="DTO16" i="7"/>
  <c r="DTQ16" i="7"/>
  <c r="DTS16" i="7"/>
  <c r="DTU16" i="7"/>
  <c r="DTW16" i="7"/>
  <c r="DTY16" i="7"/>
  <c r="DUA16" i="7"/>
  <c r="DUC16" i="7"/>
  <c r="DUE16" i="7"/>
  <c r="DUG16" i="7"/>
  <c r="DUI16" i="7"/>
  <c r="DUK16" i="7"/>
  <c r="DUM16" i="7"/>
  <c r="DUO16" i="7"/>
  <c r="DUQ16" i="7"/>
  <c r="DUS16" i="7"/>
  <c r="DUU16" i="7"/>
  <c r="DUW16" i="7"/>
  <c r="DUY16" i="7"/>
  <c r="DVA16" i="7"/>
  <c r="DVC16" i="7"/>
  <c r="DVE16" i="7"/>
  <c r="DVG16" i="7"/>
  <c r="DVI16" i="7"/>
  <c r="DVK16" i="7"/>
  <c r="DVM16" i="7"/>
  <c r="DVO16" i="7"/>
  <c r="DVQ16" i="7"/>
  <c r="DVS16" i="7"/>
  <c r="DVU16" i="7"/>
  <c r="DVW16" i="7"/>
  <c r="DVY16" i="7"/>
  <c r="DWA16" i="7"/>
  <c r="DWC16" i="7"/>
  <c r="DWE16" i="7"/>
  <c r="DWG16" i="7"/>
  <c r="DWI16" i="7"/>
  <c r="DWK16" i="7"/>
  <c r="DWM16" i="7"/>
  <c r="DWO16" i="7"/>
  <c r="DWQ16" i="7"/>
  <c r="DWS16" i="7"/>
  <c r="DWU16" i="7"/>
  <c r="DWW16" i="7"/>
  <c r="DWY16" i="7"/>
  <c r="DXA16" i="7"/>
  <c r="DXC16" i="7"/>
  <c r="DXE16" i="7"/>
  <c r="DXG16" i="7"/>
  <c r="DXI16" i="7"/>
  <c r="DXK16" i="7"/>
  <c r="DXM16" i="7"/>
  <c r="DXO16" i="7"/>
  <c r="DXQ16" i="7"/>
  <c r="DXS16" i="7"/>
  <c r="DXU16" i="7"/>
  <c r="DXW16" i="7"/>
  <c r="DXY16" i="7"/>
  <c r="DYA16" i="7"/>
  <c r="DYC16" i="7"/>
  <c r="DYE16" i="7"/>
  <c r="DYG16" i="7"/>
  <c r="DYI16" i="7"/>
  <c r="DYK16" i="7"/>
  <c r="DYM16" i="7"/>
  <c r="DYO16" i="7"/>
  <c r="DYQ16" i="7"/>
  <c r="DYS16" i="7"/>
  <c r="DYU16" i="7"/>
  <c r="DYW16" i="7"/>
  <c r="DYY16" i="7"/>
  <c r="DZA16" i="7"/>
  <c r="DZC16" i="7"/>
  <c r="DZE16" i="7"/>
  <c r="DZG16" i="7"/>
  <c r="DZI16" i="7"/>
  <c r="DZK16" i="7"/>
  <c r="DZM16" i="7"/>
  <c r="DZO16" i="7"/>
  <c r="DZQ16" i="7"/>
  <c r="DZS16" i="7"/>
  <c r="DZU16" i="7"/>
  <c r="DZW16" i="7"/>
  <c r="DZY16" i="7"/>
  <c r="EAA16" i="7"/>
  <c r="EAC16" i="7"/>
  <c r="EAE16" i="7"/>
  <c r="EAG16" i="7"/>
  <c r="EAI16" i="7"/>
  <c r="EAK16" i="7"/>
  <c r="EAM16" i="7"/>
  <c r="EAO16" i="7"/>
  <c r="EAQ16" i="7"/>
  <c r="EAS16" i="7"/>
  <c r="EAU16" i="7"/>
  <c r="EAW16" i="7"/>
  <c r="EAY16" i="7"/>
  <c r="EBA16" i="7"/>
  <c r="EBC16" i="7"/>
  <c r="EBE16" i="7"/>
  <c r="EBG16" i="7"/>
  <c r="EBI16" i="7"/>
  <c r="EBK16" i="7"/>
  <c r="EBM16" i="7"/>
  <c r="EBO16" i="7"/>
  <c r="EBQ16" i="7"/>
  <c r="EBS16" i="7"/>
  <c r="EBU16" i="7"/>
  <c r="EBW16" i="7"/>
  <c r="EBY16" i="7"/>
  <c r="ECA16" i="7"/>
  <c r="ECC16" i="7"/>
  <c r="ECE16" i="7"/>
  <c r="ECG16" i="7"/>
  <c r="ECI16" i="7"/>
  <c r="ECK16" i="7"/>
  <c r="ECM16" i="7"/>
  <c r="ECO16" i="7"/>
  <c r="ECQ16" i="7"/>
  <c r="ECS16" i="7"/>
  <c r="ECU16" i="7"/>
  <c r="ECW16" i="7"/>
  <c r="ECY16" i="7"/>
  <c r="EDA16" i="7"/>
  <c r="EDC16" i="7"/>
  <c r="EDE16" i="7"/>
  <c r="EDG16" i="7"/>
  <c r="EDI16" i="7"/>
  <c r="EDK16" i="7"/>
  <c r="EDM16" i="7"/>
  <c r="EDO16" i="7"/>
  <c r="EDQ16" i="7"/>
  <c r="EDS16" i="7"/>
  <c r="EDU16" i="7"/>
  <c r="EDW16" i="7"/>
  <c r="EDY16" i="7"/>
  <c r="EEA16" i="7"/>
  <c r="EEC16" i="7"/>
  <c r="EEE16" i="7"/>
  <c r="EEG16" i="7"/>
  <c r="EEI16" i="7"/>
  <c r="EEK16" i="7"/>
  <c r="EEM16" i="7"/>
  <c r="EEO16" i="7"/>
  <c r="EEQ16" i="7"/>
  <c r="EES16" i="7"/>
  <c r="EEU16" i="7"/>
  <c r="EEW16" i="7"/>
  <c r="EEY16" i="7"/>
  <c r="EFA16" i="7"/>
  <c r="EFC16" i="7"/>
  <c r="EFE16" i="7"/>
  <c r="EFG16" i="7"/>
  <c r="EFI16" i="7"/>
  <c r="EFK16" i="7"/>
  <c r="EFM16" i="7"/>
  <c r="EFO16" i="7"/>
  <c r="EFQ16" i="7"/>
  <c r="EFS16" i="7"/>
  <c r="EFU16" i="7"/>
  <c r="EFW16" i="7"/>
  <c r="EFY16" i="7"/>
  <c r="EGA16" i="7"/>
  <c r="EGC16" i="7"/>
  <c r="EGE16" i="7"/>
  <c r="EGG16" i="7"/>
  <c r="EGI16" i="7"/>
  <c r="EGK16" i="7"/>
  <c r="EGM16" i="7"/>
  <c r="EGO16" i="7"/>
  <c r="EGQ16" i="7"/>
  <c r="EGS16" i="7"/>
  <c r="EGU16" i="7"/>
  <c r="EGW16" i="7"/>
  <c r="EGY16" i="7"/>
  <c r="EHA16" i="7"/>
  <c r="EHC16" i="7"/>
  <c r="EHE16" i="7"/>
  <c r="EHG16" i="7"/>
  <c r="EHI16" i="7"/>
  <c r="EHK16" i="7"/>
  <c r="EHM16" i="7"/>
  <c r="EHO16" i="7"/>
  <c r="EHQ16" i="7"/>
  <c r="EHS16" i="7"/>
  <c r="EHU16" i="7"/>
  <c r="EHW16" i="7"/>
  <c r="EHY16" i="7"/>
  <c r="EIA16" i="7"/>
  <c r="EIC16" i="7"/>
  <c r="EIE16" i="7"/>
  <c r="EIG16" i="7"/>
  <c r="EII16" i="7"/>
  <c r="EIK16" i="7"/>
  <c r="EIM16" i="7"/>
  <c r="EIO16" i="7"/>
  <c r="EIQ16" i="7"/>
  <c r="EIS16" i="7"/>
  <c r="EIU16" i="7"/>
  <c r="EIW16" i="7"/>
  <c r="EIY16" i="7"/>
  <c r="EJA16" i="7"/>
  <c r="EJC16" i="7"/>
  <c r="EJE16" i="7"/>
  <c r="EJG16" i="7"/>
  <c r="EJI16" i="7"/>
  <c r="EJK16" i="7"/>
  <c r="EJM16" i="7"/>
  <c r="EJO16" i="7"/>
  <c r="EJQ16" i="7"/>
  <c r="EJS16" i="7"/>
  <c r="EJU16" i="7"/>
  <c r="EJW16" i="7"/>
  <c r="EJY16" i="7"/>
  <c r="EKA16" i="7"/>
  <c r="EKC16" i="7"/>
  <c r="EKE16" i="7"/>
  <c r="EKG16" i="7"/>
  <c r="EKI16" i="7"/>
  <c r="EKK16" i="7"/>
  <c r="EKM16" i="7"/>
  <c r="EKO16" i="7"/>
  <c r="EKQ16" i="7"/>
  <c r="EKS16" i="7"/>
  <c r="EKU16" i="7"/>
  <c r="EKW16" i="7"/>
  <c r="EKY16" i="7"/>
  <c r="ELA16" i="7"/>
  <c r="ELC16" i="7"/>
  <c r="ELE16" i="7"/>
  <c r="ELG16" i="7"/>
  <c r="ELI16" i="7"/>
  <c r="ELK16" i="7"/>
  <c r="ELM16" i="7"/>
  <c r="ELO16" i="7"/>
  <c r="ELQ16" i="7"/>
  <c r="ELS16" i="7"/>
  <c r="ELU16" i="7"/>
  <c r="ELW16" i="7"/>
  <c r="ELY16" i="7"/>
  <c r="EMA16" i="7"/>
  <c r="EMC16" i="7"/>
  <c r="EME16" i="7"/>
  <c r="EMG16" i="7"/>
  <c r="EMI16" i="7"/>
  <c r="EMK16" i="7"/>
  <c r="EMM16" i="7"/>
  <c r="EMO16" i="7"/>
  <c r="EMQ16" i="7"/>
  <c r="EMS16" i="7"/>
  <c r="EMU16" i="7"/>
  <c r="EMW16" i="7"/>
  <c r="EMY16" i="7"/>
  <c r="ENA16" i="7"/>
  <c r="ENC16" i="7"/>
  <c r="ENE16" i="7"/>
  <c r="ENG16" i="7"/>
  <c r="ENI16" i="7"/>
  <c r="ENK16" i="7"/>
  <c r="ENM16" i="7"/>
  <c r="ENO16" i="7"/>
  <c r="ENQ16" i="7"/>
  <c r="ENS16" i="7"/>
  <c r="ENU16" i="7"/>
  <c r="ENW16" i="7"/>
  <c r="ENY16" i="7"/>
  <c r="EOA16" i="7"/>
  <c r="EOC16" i="7"/>
  <c r="EOE16" i="7"/>
  <c r="EOG16" i="7"/>
  <c r="EOI16" i="7"/>
  <c r="EOK16" i="7"/>
  <c r="EOM16" i="7"/>
  <c r="EOO16" i="7"/>
  <c r="EOQ16" i="7"/>
  <c r="EOS16" i="7"/>
  <c r="EOU16" i="7"/>
  <c r="EOW16" i="7"/>
  <c r="EOY16" i="7"/>
  <c r="EPA16" i="7"/>
  <c r="EPC16" i="7"/>
  <c r="EPE16" i="7"/>
  <c r="EPG16" i="7"/>
  <c r="EPI16" i="7"/>
  <c r="EPK16" i="7"/>
  <c r="EPM16" i="7"/>
  <c r="EPO16" i="7"/>
  <c r="EPQ16" i="7"/>
  <c r="EPS16" i="7"/>
  <c r="EPU16" i="7"/>
  <c r="EPW16" i="7"/>
  <c r="EPY16" i="7"/>
  <c r="EQA16" i="7"/>
  <c r="EQC16" i="7"/>
  <c r="EQE16" i="7"/>
  <c r="EQG16" i="7"/>
  <c r="EQI16" i="7"/>
  <c r="EQK16" i="7"/>
  <c r="EQM16" i="7"/>
  <c r="EQO16" i="7"/>
  <c r="EQQ16" i="7"/>
  <c r="EQS16" i="7"/>
  <c r="EQU16" i="7"/>
  <c r="EQW16" i="7"/>
  <c r="EQY16" i="7"/>
  <c r="ERA16" i="7"/>
  <c r="ERC16" i="7"/>
  <c r="ERE16" i="7"/>
  <c r="ERG16" i="7"/>
  <c r="ERI16" i="7"/>
  <c r="ERK16" i="7"/>
  <c r="ERM16" i="7"/>
  <c r="ERO16" i="7"/>
  <c r="ERQ16" i="7"/>
  <c r="ERS16" i="7"/>
  <c r="ERU16" i="7"/>
  <c r="ERW16" i="7"/>
  <c r="ERY16" i="7"/>
  <c r="ESA16" i="7"/>
  <c r="ESC16" i="7"/>
  <c r="ESE16" i="7"/>
  <c r="ESG16" i="7"/>
  <c r="ESI16" i="7"/>
  <c r="ESK16" i="7"/>
  <c r="ESM16" i="7"/>
  <c r="ESO16" i="7"/>
  <c r="ESQ16" i="7"/>
  <c r="ESS16" i="7"/>
  <c r="ESU16" i="7"/>
  <c r="ESW16" i="7"/>
  <c r="ESY16" i="7"/>
  <c r="ETA16" i="7"/>
  <c r="ETC16" i="7"/>
  <c r="ETE16" i="7"/>
  <c r="ETG16" i="7"/>
  <c r="ETI16" i="7"/>
  <c r="ETK16" i="7"/>
  <c r="ETM16" i="7"/>
  <c r="ETO16" i="7"/>
  <c r="ETQ16" i="7"/>
  <c r="ETS16" i="7"/>
  <c r="ETU16" i="7"/>
  <c r="ETW16" i="7"/>
  <c r="ETY16" i="7"/>
  <c r="EUA16" i="7"/>
  <c r="EUC16" i="7"/>
  <c r="EUE16" i="7"/>
  <c r="EUG16" i="7"/>
  <c r="EUI16" i="7"/>
  <c r="EUK16" i="7"/>
  <c r="EUM16" i="7"/>
  <c r="EUO16" i="7"/>
  <c r="EUQ16" i="7"/>
  <c r="EUS16" i="7"/>
  <c r="EUU16" i="7"/>
  <c r="EUW16" i="7"/>
  <c r="EUY16" i="7"/>
  <c r="EVA16" i="7"/>
  <c r="EVC16" i="7"/>
  <c r="EVE16" i="7"/>
  <c r="EVG16" i="7"/>
  <c r="EVI16" i="7"/>
  <c r="EVK16" i="7"/>
  <c r="EVM16" i="7"/>
  <c r="EVO16" i="7"/>
  <c r="EVQ16" i="7"/>
  <c r="EVS16" i="7"/>
  <c r="EVU16" i="7"/>
  <c r="EVW16" i="7"/>
  <c r="EVY16" i="7"/>
  <c r="EWA16" i="7"/>
  <c r="EWC16" i="7"/>
  <c r="EWE16" i="7"/>
  <c r="EWG16" i="7"/>
  <c r="EWI16" i="7"/>
  <c r="EWK16" i="7"/>
  <c r="EWM16" i="7"/>
  <c r="EWO16" i="7"/>
  <c r="EWQ16" i="7"/>
  <c r="EWS16" i="7"/>
  <c r="EWU16" i="7"/>
  <c r="EWW16" i="7"/>
  <c r="EWY16" i="7"/>
  <c r="EXA16" i="7"/>
  <c r="EXC16" i="7"/>
  <c r="EXE16" i="7"/>
  <c r="EXG16" i="7"/>
  <c r="EXI16" i="7"/>
  <c r="EXK16" i="7"/>
  <c r="EXM16" i="7"/>
  <c r="EXO16" i="7"/>
  <c r="EXQ16" i="7"/>
  <c r="EXS16" i="7"/>
  <c r="EXU16" i="7"/>
  <c r="EXW16" i="7"/>
  <c r="EXY16" i="7"/>
  <c r="EYA16" i="7"/>
  <c r="EYC16" i="7"/>
  <c r="EYE16" i="7"/>
  <c r="EYG16" i="7"/>
  <c r="EYI16" i="7"/>
  <c r="EYK16" i="7"/>
  <c r="EYM16" i="7"/>
  <c r="EYO16" i="7"/>
  <c r="EYQ16" i="7"/>
  <c r="EYS16" i="7"/>
  <c r="EYU16" i="7"/>
  <c r="EYW16" i="7"/>
  <c r="EYY16" i="7"/>
  <c r="EZA16" i="7"/>
  <c r="EZC16" i="7"/>
  <c r="EZE16" i="7"/>
  <c r="EZG16" i="7"/>
  <c r="EZI16" i="7"/>
  <c r="EZK16" i="7"/>
  <c r="EZM16" i="7"/>
  <c r="EZO16" i="7"/>
  <c r="EZQ16" i="7"/>
  <c r="EZS16" i="7"/>
  <c r="EZU16" i="7"/>
  <c r="EZW16" i="7"/>
  <c r="EZY16" i="7"/>
  <c r="FAA16" i="7"/>
  <c r="FAC16" i="7"/>
  <c r="FAE16" i="7"/>
  <c r="FAG16" i="7"/>
  <c r="FAI16" i="7"/>
  <c r="FAK16" i="7"/>
  <c r="FAM16" i="7"/>
  <c r="FAO16" i="7"/>
  <c r="FAQ16" i="7"/>
  <c r="FAS16" i="7"/>
  <c r="FAU16" i="7"/>
  <c r="FAW16" i="7"/>
  <c r="FAY16" i="7"/>
  <c r="FBA16" i="7"/>
  <c r="FBC16" i="7"/>
  <c r="FBE16" i="7"/>
  <c r="FBG16" i="7"/>
  <c r="FBI16" i="7"/>
  <c r="FBK16" i="7"/>
  <c r="FBM16" i="7"/>
  <c r="FBO16" i="7"/>
  <c r="FBQ16" i="7"/>
  <c r="FBS16" i="7"/>
  <c r="FBU16" i="7"/>
  <c r="FBW16" i="7"/>
  <c r="FBY16" i="7"/>
  <c r="FCA16" i="7"/>
  <c r="FCC16" i="7"/>
  <c r="FCE16" i="7"/>
  <c r="FCG16" i="7"/>
  <c r="FCI16" i="7"/>
  <c r="FCK16" i="7"/>
  <c r="FCM16" i="7"/>
  <c r="FCO16" i="7"/>
  <c r="FCQ16" i="7"/>
  <c r="FCS16" i="7"/>
  <c r="FCU16" i="7"/>
  <c r="FCW16" i="7"/>
  <c r="FCY16" i="7"/>
  <c r="FDA16" i="7"/>
  <c r="FDC16" i="7"/>
  <c r="FDE16" i="7"/>
  <c r="FDG16" i="7"/>
  <c r="FDI16" i="7"/>
  <c r="FDK16" i="7"/>
  <c r="FDM16" i="7"/>
  <c r="FDO16" i="7"/>
  <c r="FDQ16" i="7"/>
  <c r="FDS16" i="7"/>
  <c r="FDU16" i="7"/>
  <c r="FDW16" i="7"/>
  <c r="FDY16" i="7"/>
  <c r="FEA16" i="7"/>
  <c r="FEC16" i="7"/>
  <c r="FEE16" i="7"/>
  <c r="FEG16" i="7"/>
  <c r="FEI16" i="7"/>
  <c r="FEK16" i="7"/>
  <c r="FEM16" i="7"/>
  <c r="FEO16" i="7"/>
  <c r="FEQ16" i="7"/>
  <c r="FES16" i="7"/>
  <c r="FEU16" i="7"/>
  <c r="FEW16" i="7"/>
  <c r="FEY16" i="7"/>
  <c r="FFA16" i="7"/>
  <c r="FFC16" i="7"/>
  <c r="FFE16" i="7"/>
  <c r="FFG16" i="7"/>
  <c r="FFI16" i="7"/>
  <c r="FFK16" i="7"/>
  <c r="FFM16" i="7"/>
  <c r="FFO16" i="7"/>
  <c r="FFQ16" i="7"/>
  <c r="FFS16" i="7"/>
  <c r="FFU16" i="7"/>
  <c r="FFW16" i="7"/>
  <c r="FFY16" i="7"/>
  <c r="FGA16" i="7"/>
  <c r="FGC16" i="7"/>
  <c r="FGE16" i="7"/>
  <c r="FGG16" i="7"/>
  <c r="FGI16" i="7"/>
  <c r="FGK16" i="7"/>
  <c r="FGM16" i="7"/>
  <c r="FGO16" i="7"/>
  <c r="FGQ16" i="7"/>
  <c r="FGS16" i="7"/>
  <c r="FGU16" i="7"/>
  <c r="FGW16" i="7"/>
  <c r="FGY16" i="7"/>
  <c r="FHA16" i="7"/>
  <c r="FHC16" i="7"/>
  <c r="FHE16" i="7"/>
  <c r="FHG16" i="7"/>
  <c r="FHI16" i="7"/>
  <c r="FHK16" i="7"/>
  <c r="FHM16" i="7"/>
  <c r="FHO16" i="7"/>
  <c r="FHQ16" i="7"/>
  <c r="FHS16" i="7"/>
  <c r="FHU16" i="7"/>
  <c r="FHW16" i="7"/>
  <c r="FHY16" i="7"/>
  <c r="FIA16" i="7"/>
  <c r="FIC16" i="7"/>
  <c r="FIE16" i="7"/>
  <c r="FIG16" i="7"/>
  <c r="FII16" i="7"/>
  <c r="FIK16" i="7"/>
  <c r="FIM16" i="7"/>
  <c r="FIO16" i="7"/>
  <c r="FIQ16" i="7"/>
  <c r="FIS16" i="7"/>
  <c r="FIU16" i="7"/>
  <c r="FIW16" i="7"/>
  <c r="FIY16" i="7"/>
  <c r="FJA16" i="7"/>
  <c r="FJC16" i="7"/>
  <c r="FJE16" i="7"/>
  <c r="FJG16" i="7"/>
  <c r="FJI16" i="7"/>
  <c r="FJK16" i="7"/>
  <c r="FJM16" i="7"/>
  <c r="FJO16" i="7"/>
  <c r="FJQ16" i="7"/>
  <c r="FJS16" i="7"/>
  <c r="FJU16" i="7"/>
  <c r="FJW16" i="7"/>
  <c r="FJY16" i="7"/>
  <c r="FKA16" i="7"/>
  <c r="FKC16" i="7"/>
  <c r="FKE16" i="7"/>
  <c r="FKG16" i="7"/>
  <c r="FKI16" i="7"/>
  <c r="FKK16" i="7"/>
  <c r="FKM16" i="7"/>
  <c r="FKO16" i="7"/>
  <c r="FKQ16" i="7"/>
  <c r="FKS16" i="7"/>
  <c r="FKU16" i="7"/>
  <c r="FKW16" i="7"/>
  <c r="FKY16" i="7"/>
  <c r="FLA16" i="7"/>
  <c r="FLC16" i="7"/>
  <c r="FLE16" i="7"/>
  <c r="FLG16" i="7"/>
  <c r="FLI16" i="7"/>
  <c r="FLK16" i="7"/>
  <c r="FLM16" i="7"/>
  <c r="FLO16" i="7"/>
  <c r="FLQ16" i="7"/>
  <c r="FLS16" i="7"/>
  <c r="FLU16" i="7"/>
  <c r="FLW16" i="7"/>
  <c r="FLY16" i="7"/>
  <c r="FMA16" i="7"/>
  <c r="FMC16" i="7"/>
  <c r="FME16" i="7"/>
  <c r="FMG16" i="7"/>
  <c r="FMI16" i="7"/>
  <c r="FMK16" i="7"/>
  <c r="FMM16" i="7"/>
  <c r="FMO16" i="7"/>
  <c r="FMQ16" i="7"/>
  <c r="FMS16" i="7"/>
  <c r="FMU16" i="7"/>
  <c r="FMW16" i="7"/>
  <c r="FMY16" i="7"/>
  <c r="FNA16" i="7"/>
  <c r="FNC16" i="7"/>
  <c r="FNE16" i="7"/>
  <c r="FNG16" i="7"/>
  <c r="FNI16" i="7"/>
  <c r="FNK16" i="7"/>
  <c r="FNM16" i="7"/>
  <c r="FNO16" i="7"/>
  <c r="FNQ16" i="7"/>
  <c r="FNS16" i="7"/>
  <c r="FNU16" i="7"/>
  <c r="FNW16" i="7"/>
  <c r="FNY16" i="7"/>
  <c r="FOA16" i="7"/>
  <c r="FOC16" i="7"/>
  <c r="FOE16" i="7"/>
  <c r="FOG16" i="7"/>
  <c r="FOI16" i="7"/>
  <c r="FOK16" i="7"/>
  <c r="FOM16" i="7"/>
  <c r="FOO16" i="7"/>
  <c r="FOQ16" i="7"/>
  <c r="FOS16" i="7"/>
  <c r="FOU16" i="7"/>
  <c r="FOW16" i="7"/>
  <c r="FOY16" i="7"/>
  <c r="FPA16" i="7"/>
  <c r="FPC16" i="7"/>
  <c r="FPE16" i="7"/>
  <c r="FPG16" i="7"/>
  <c r="FPI16" i="7"/>
  <c r="FPK16" i="7"/>
  <c r="FPM16" i="7"/>
  <c r="FPO16" i="7"/>
  <c r="FPQ16" i="7"/>
  <c r="FPS16" i="7"/>
  <c r="FPU16" i="7"/>
  <c r="FPW16" i="7"/>
  <c r="FPY16" i="7"/>
  <c r="FQA16" i="7"/>
  <c r="FQC16" i="7"/>
  <c r="FQE16" i="7"/>
  <c r="FQG16" i="7"/>
  <c r="FQI16" i="7"/>
  <c r="FQK16" i="7"/>
  <c r="FQM16" i="7"/>
  <c r="FQO16" i="7"/>
  <c r="FQQ16" i="7"/>
  <c r="FQS16" i="7"/>
  <c r="FQU16" i="7"/>
  <c r="FQW16" i="7"/>
  <c r="FQY16" i="7"/>
  <c r="FRA16" i="7"/>
  <c r="FRC16" i="7"/>
  <c r="FRE16" i="7"/>
  <c r="FRG16" i="7"/>
  <c r="FRI16" i="7"/>
  <c r="FRK16" i="7"/>
  <c r="FRM16" i="7"/>
  <c r="FRO16" i="7"/>
  <c r="FRQ16" i="7"/>
  <c r="FRS16" i="7"/>
  <c r="FRU16" i="7"/>
  <c r="FRW16" i="7"/>
  <c r="FRY16" i="7"/>
  <c r="FSA16" i="7"/>
  <c r="FSC16" i="7"/>
  <c r="FSE16" i="7"/>
  <c r="FSG16" i="7"/>
  <c r="FSI16" i="7"/>
  <c r="FSK16" i="7"/>
  <c r="FSM16" i="7"/>
  <c r="FSO16" i="7"/>
  <c r="FSQ16" i="7"/>
  <c r="FSS16" i="7"/>
  <c r="FSU16" i="7"/>
  <c r="FSW16" i="7"/>
  <c r="FSY16" i="7"/>
  <c r="FTA16" i="7"/>
  <c r="FTC16" i="7"/>
  <c r="FTE16" i="7"/>
  <c r="FTG16" i="7"/>
  <c r="FTI16" i="7"/>
  <c r="FTK16" i="7"/>
  <c r="FTM16" i="7"/>
  <c r="FTO16" i="7"/>
  <c r="FTQ16" i="7"/>
  <c r="FTS16" i="7"/>
  <c r="FTU16" i="7"/>
  <c r="FTW16" i="7"/>
  <c r="FTY16" i="7"/>
  <c r="FUA16" i="7"/>
  <c r="FUC16" i="7"/>
  <c r="FUE16" i="7"/>
  <c r="FUG16" i="7"/>
  <c r="FUI16" i="7"/>
  <c r="FUK16" i="7"/>
  <c r="FUM16" i="7"/>
  <c r="FUO16" i="7"/>
  <c r="FUQ16" i="7"/>
  <c r="FUS16" i="7"/>
  <c r="FUU16" i="7"/>
  <c r="FUW16" i="7"/>
  <c r="FUY16" i="7"/>
  <c r="FVA16" i="7"/>
  <c r="FVC16" i="7"/>
  <c r="FVE16" i="7"/>
  <c r="FVG16" i="7"/>
  <c r="FVI16" i="7"/>
  <c r="FVK16" i="7"/>
  <c r="FVM16" i="7"/>
  <c r="FVO16" i="7"/>
  <c r="FVQ16" i="7"/>
  <c r="FVS16" i="7"/>
  <c r="FVU16" i="7"/>
  <c r="FVW16" i="7"/>
  <c r="FVY16" i="7"/>
  <c r="FWA16" i="7"/>
  <c r="FWC16" i="7"/>
  <c r="FWE16" i="7"/>
  <c r="FWG16" i="7"/>
  <c r="FWI16" i="7"/>
  <c r="FWK16" i="7"/>
  <c r="FWM16" i="7"/>
  <c r="FWO16" i="7"/>
  <c r="FWQ16" i="7"/>
  <c r="FWS16" i="7"/>
  <c r="FWU16" i="7"/>
  <c r="FWW16" i="7"/>
  <c r="FWY16" i="7"/>
  <c r="FXA16" i="7"/>
  <c r="FXC16" i="7"/>
  <c r="FXE16" i="7"/>
  <c r="FXG16" i="7"/>
  <c r="FXI16" i="7"/>
  <c r="FXK16" i="7"/>
  <c r="FXM16" i="7"/>
  <c r="FXO16" i="7"/>
  <c r="FXQ16" i="7"/>
  <c r="FXS16" i="7"/>
  <c r="FXU16" i="7"/>
  <c r="FXW16" i="7"/>
  <c r="FXY16" i="7"/>
  <c r="FYA16" i="7"/>
  <c r="FYC16" i="7"/>
  <c r="FYE16" i="7"/>
  <c r="FYG16" i="7"/>
  <c r="FYI16" i="7"/>
  <c r="FYK16" i="7"/>
  <c r="FYM16" i="7"/>
  <c r="FYO16" i="7"/>
  <c r="FYQ16" i="7"/>
  <c r="FYS16" i="7"/>
  <c r="FYU16" i="7"/>
  <c r="FYW16" i="7"/>
  <c r="FYY16" i="7"/>
  <c r="FZA16" i="7"/>
  <c r="FZC16" i="7"/>
  <c r="FZE16" i="7"/>
  <c r="FZG16" i="7"/>
  <c r="FZI16" i="7"/>
  <c r="FZK16" i="7"/>
  <c r="FZM16" i="7"/>
  <c r="FZO16" i="7"/>
  <c r="FZQ16" i="7"/>
  <c r="FZS16" i="7"/>
  <c r="FZU16" i="7"/>
  <c r="FZW16" i="7"/>
  <c r="FZY16" i="7"/>
  <c r="GAA16" i="7"/>
  <c r="GAC16" i="7"/>
  <c r="GAE16" i="7"/>
  <c r="GAG16" i="7"/>
  <c r="GAI16" i="7"/>
  <c r="GAK16" i="7"/>
  <c r="GAM16" i="7"/>
  <c r="GAO16" i="7"/>
  <c r="GAQ16" i="7"/>
  <c r="GAS16" i="7"/>
  <c r="GAU16" i="7"/>
  <c r="GAW16" i="7"/>
  <c r="GAY16" i="7"/>
  <c r="GBA16" i="7"/>
  <c r="GBC16" i="7"/>
  <c r="GBE16" i="7"/>
  <c r="GBG16" i="7"/>
  <c r="GBI16" i="7"/>
  <c r="GBK16" i="7"/>
  <c r="GBM16" i="7"/>
  <c r="GBO16" i="7"/>
  <c r="GBQ16" i="7"/>
  <c r="GBS16" i="7"/>
  <c r="GBU16" i="7"/>
  <c r="GBW16" i="7"/>
  <c r="GBY16" i="7"/>
  <c r="GCA16" i="7"/>
  <c r="GCC16" i="7"/>
  <c r="GCE16" i="7"/>
  <c r="GCG16" i="7"/>
  <c r="GCI16" i="7"/>
  <c r="GCK16" i="7"/>
  <c r="GCM16" i="7"/>
  <c r="GCO16" i="7"/>
  <c r="GCQ16" i="7"/>
  <c r="GCS16" i="7"/>
  <c r="GCU16" i="7"/>
  <c r="GCW16" i="7"/>
  <c r="GCY16" i="7"/>
  <c r="GDA16" i="7"/>
  <c r="GDC16" i="7"/>
  <c r="GDE16" i="7"/>
  <c r="GDG16" i="7"/>
  <c r="GDI16" i="7"/>
  <c r="GDK16" i="7"/>
  <c r="GDM16" i="7"/>
  <c r="GDO16" i="7"/>
  <c r="GDQ16" i="7"/>
  <c r="GDS16" i="7"/>
  <c r="GDU16" i="7"/>
  <c r="GDW16" i="7"/>
  <c r="GDY16" i="7"/>
  <c r="GEA16" i="7"/>
  <c r="GEC16" i="7"/>
  <c r="GEE16" i="7"/>
  <c r="GEG16" i="7"/>
  <c r="GEI16" i="7"/>
  <c r="GEK16" i="7"/>
  <c r="GEM16" i="7"/>
  <c r="GEO16" i="7"/>
  <c r="GEQ16" i="7"/>
  <c r="GES16" i="7"/>
  <c r="GEU16" i="7"/>
  <c r="GEW16" i="7"/>
  <c r="GEY16" i="7"/>
  <c r="GFA16" i="7"/>
  <c r="GFC16" i="7"/>
  <c r="GFE16" i="7"/>
  <c r="GFG16" i="7"/>
  <c r="GFI16" i="7"/>
  <c r="GFK16" i="7"/>
  <c r="GFM16" i="7"/>
  <c r="GFO16" i="7"/>
  <c r="GFQ16" i="7"/>
  <c r="GFS16" i="7"/>
  <c r="GFU16" i="7"/>
  <c r="GFW16" i="7"/>
  <c r="GFY16" i="7"/>
  <c r="GGA16" i="7"/>
  <c r="GGC16" i="7"/>
  <c r="GGE16" i="7"/>
  <c r="GGG16" i="7"/>
  <c r="GGI16" i="7"/>
  <c r="GGK16" i="7"/>
  <c r="GGM16" i="7"/>
  <c r="GGO16" i="7"/>
  <c r="GGQ16" i="7"/>
  <c r="GGS16" i="7"/>
  <c r="GGU16" i="7"/>
  <c r="GGW16" i="7"/>
  <c r="GGY16" i="7"/>
  <c r="GHA16" i="7"/>
  <c r="GHC16" i="7"/>
  <c r="GHE16" i="7"/>
  <c r="GHG16" i="7"/>
  <c r="GHI16" i="7"/>
  <c r="GHK16" i="7"/>
  <c r="GHM16" i="7"/>
  <c r="GHO16" i="7"/>
  <c r="GHQ16" i="7"/>
  <c r="GHS16" i="7"/>
  <c r="GHU16" i="7"/>
  <c r="GHW16" i="7"/>
  <c r="GHY16" i="7"/>
  <c r="GIA16" i="7"/>
  <c r="GIC16" i="7"/>
  <c r="GIE16" i="7"/>
  <c r="GIG16" i="7"/>
  <c r="GII16" i="7"/>
  <c r="GIK16" i="7"/>
  <c r="GIM16" i="7"/>
  <c r="GIO16" i="7"/>
  <c r="GIQ16" i="7"/>
  <c r="GIS16" i="7"/>
  <c r="GIU16" i="7"/>
  <c r="GIW16" i="7"/>
  <c r="GIY16" i="7"/>
  <c r="GJA16" i="7"/>
  <c r="GJC16" i="7"/>
  <c r="GJE16" i="7"/>
  <c r="GJG16" i="7"/>
  <c r="GJI16" i="7"/>
  <c r="GJK16" i="7"/>
  <c r="GJM16" i="7"/>
  <c r="GJO16" i="7"/>
  <c r="GJQ16" i="7"/>
  <c r="GJS16" i="7"/>
  <c r="GJU16" i="7"/>
  <c r="GJW16" i="7"/>
  <c r="GJY16" i="7"/>
  <c r="GKA16" i="7"/>
  <c r="GKC16" i="7"/>
  <c r="GKE16" i="7"/>
  <c r="GKG16" i="7"/>
  <c r="GKI16" i="7"/>
  <c r="GKK16" i="7"/>
  <c r="GKM16" i="7"/>
  <c r="GKO16" i="7"/>
  <c r="GKQ16" i="7"/>
  <c r="GKS16" i="7"/>
  <c r="GKU16" i="7"/>
  <c r="GKW16" i="7"/>
  <c r="GKY16" i="7"/>
  <c r="GLA16" i="7"/>
  <c r="GLC16" i="7"/>
  <c r="GLE16" i="7"/>
  <c r="GLG16" i="7"/>
  <c r="GLI16" i="7"/>
  <c r="GLK16" i="7"/>
  <c r="GLM16" i="7"/>
  <c r="GLO16" i="7"/>
  <c r="GLQ16" i="7"/>
  <c r="GLS16" i="7"/>
  <c r="GLU16" i="7"/>
  <c r="GLW16" i="7"/>
  <c r="GLY16" i="7"/>
  <c r="GMA16" i="7"/>
  <c r="GMC16" i="7"/>
  <c r="GME16" i="7"/>
  <c r="GMG16" i="7"/>
  <c r="GMI16" i="7"/>
  <c r="GMK16" i="7"/>
  <c r="GMM16" i="7"/>
  <c r="GMO16" i="7"/>
  <c r="GMQ16" i="7"/>
  <c r="GMS16" i="7"/>
  <c r="GMU16" i="7"/>
  <c r="GMW16" i="7"/>
  <c r="GMY16" i="7"/>
  <c r="GNA16" i="7"/>
  <c r="GNC16" i="7"/>
  <c r="GNE16" i="7"/>
  <c r="GNG16" i="7"/>
  <c r="GNI16" i="7"/>
  <c r="GNK16" i="7"/>
  <c r="GNM16" i="7"/>
  <c r="GNO16" i="7"/>
  <c r="GNQ16" i="7"/>
  <c r="GNS16" i="7"/>
  <c r="GNU16" i="7"/>
  <c r="GNW16" i="7"/>
  <c r="GNY16" i="7"/>
  <c r="GOA16" i="7"/>
  <c r="GOC16" i="7"/>
  <c r="GOE16" i="7"/>
  <c r="GOG16" i="7"/>
  <c r="GOI16" i="7"/>
  <c r="GOK16" i="7"/>
  <c r="GOM16" i="7"/>
  <c r="GOO16" i="7"/>
  <c r="GOQ16" i="7"/>
  <c r="GOS16" i="7"/>
  <c r="GOU16" i="7"/>
  <c r="GOW16" i="7"/>
  <c r="GOY16" i="7"/>
  <c r="GPA16" i="7"/>
  <c r="GPC16" i="7"/>
  <c r="GPE16" i="7"/>
  <c r="GPG16" i="7"/>
  <c r="GPI16" i="7"/>
  <c r="GPK16" i="7"/>
  <c r="GPM16" i="7"/>
  <c r="GPO16" i="7"/>
  <c r="GPQ16" i="7"/>
  <c r="GPS16" i="7"/>
  <c r="GPU16" i="7"/>
  <c r="GPW16" i="7"/>
  <c r="GPY16" i="7"/>
  <c r="GQA16" i="7"/>
  <c r="GQC16" i="7"/>
  <c r="GQE16" i="7"/>
  <c r="GQG16" i="7"/>
  <c r="GQI16" i="7"/>
  <c r="GQK16" i="7"/>
  <c r="GQM16" i="7"/>
  <c r="GQO16" i="7"/>
  <c r="GQQ16" i="7"/>
  <c r="GQS16" i="7"/>
  <c r="GQU16" i="7"/>
  <c r="GQW16" i="7"/>
  <c r="GQY16" i="7"/>
  <c r="GRA16" i="7"/>
  <c r="GRC16" i="7"/>
  <c r="GRE16" i="7"/>
  <c r="GRG16" i="7"/>
  <c r="GRI16" i="7"/>
  <c r="GRK16" i="7"/>
  <c r="GRM16" i="7"/>
  <c r="GRO16" i="7"/>
  <c r="GRQ16" i="7"/>
  <c r="GRS16" i="7"/>
  <c r="GRU16" i="7"/>
  <c r="GRW16" i="7"/>
  <c r="GRY16" i="7"/>
  <c r="GSA16" i="7"/>
  <c r="GSC16" i="7"/>
  <c r="GSE16" i="7"/>
  <c r="GSG16" i="7"/>
  <c r="GSI16" i="7"/>
  <c r="GSK16" i="7"/>
  <c r="GSM16" i="7"/>
  <c r="GSO16" i="7"/>
  <c r="GSQ16" i="7"/>
  <c r="GSS16" i="7"/>
  <c r="GSU16" i="7"/>
  <c r="GSW16" i="7"/>
  <c r="GSY16" i="7"/>
  <c r="GTA16" i="7"/>
  <c r="GTC16" i="7"/>
  <c r="GTE16" i="7"/>
  <c r="GTG16" i="7"/>
  <c r="GTI16" i="7"/>
  <c r="GTK16" i="7"/>
  <c r="GTM16" i="7"/>
  <c r="GTO16" i="7"/>
  <c r="GTQ16" i="7"/>
  <c r="GTS16" i="7"/>
  <c r="GTU16" i="7"/>
  <c r="GTW16" i="7"/>
  <c r="GTY16" i="7"/>
  <c r="GUA16" i="7"/>
  <c r="GUC16" i="7"/>
  <c r="GUE16" i="7"/>
  <c r="GUG16" i="7"/>
  <c r="GUI16" i="7"/>
  <c r="GUK16" i="7"/>
  <c r="GUM16" i="7"/>
  <c r="GUO16" i="7"/>
  <c r="GUQ16" i="7"/>
  <c r="GUS16" i="7"/>
  <c r="GUU16" i="7"/>
  <c r="GUW16" i="7"/>
  <c r="GUY16" i="7"/>
  <c r="GVA16" i="7"/>
  <c r="GVC16" i="7"/>
  <c r="GVE16" i="7"/>
  <c r="GVG16" i="7"/>
  <c r="GVI16" i="7"/>
  <c r="GVK16" i="7"/>
  <c r="GVM16" i="7"/>
  <c r="GVO16" i="7"/>
  <c r="GVQ16" i="7"/>
  <c r="GVS16" i="7"/>
  <c r="GVU16" i="7"/>
  <c r="GVW16" i="7"/>
  <c r="GVY16" i="7"/>
  <c r="GWA16" i="7"/>
  <c r="GWC16" i="7"/>
  <c r="GWE16" i="7"/>
  <c r="GWG16" i="7"/>
  <c r="GWI16" i="7"/>
  <c r="GWK16" i="7"/>
  <c r="GWM16" i="7"/>
  <c r="GWO16" i="7"/>
  <c r="GWQ16" i="7"/>
  <c r="GWS16" i="7"/>
  <c r="GWU16" i="7"/>
  <c r="GWW16" i="7"/>
  <c r="GWY16" i="7"/>
  <c r="GXA16" i="7"/>
  <c r="GXC16" i="7"/>
  <c r="GXE16" i="7"/>
  <c r="GXG16" i="7"/>
  <c r="GXI16" i="7"/>
  <c r="GXK16" i="7"/>
  <c r="GXM16" i="7"/>
  <c r="GXO16" i="7"/>
  <c r="GXQ16" i="7"/>
  <c r="GXS16" i="7"/>
  <c r="GXU16" i="7"/>
  <c r="GXW16" i="7"/>
  <c r="GXY16" i="7"/>
  <c r="GYA16" i="7"/>
  <c r="GYC16" i="7"/>
  <c r="GYE16" i="7"/>
  <c r="GYG16" i="7"/>
  <c r="GYI16" i="7"/>
  <c r="GYK16" i="7"/>
  <c r="GYM16" i="7"/>
  <c r="GYO16" i="7"/>
  <c r="GYQ16" i="7"/>
  <c r="GYS16" i="7"/>
  <c r="GYU16" i="7"/>
  <c r="GYW16" i="7"/>
  <c r="GYY16" i="7"/>
  <c r="GZA16" i="7"/>
  <c r="GZC16" i="7"/>
  <c r="GZE16" i="7"/>
  <c r="GZG16" i="7"/>
  <c r="GZI16" i="7"/>
  <c r="GZK16" i="7"/>
  <c r="GZM16" i="7"/>
  <c r="GZO16" i="7"/>
  <c r="GZQ16" i="7"/>
  <c r="GZS16" i="7"/>
  <c r="GZU16" i="7"/>
  <c r="GZW16" i="7"/>
  <c r="GZY16" i="7"/>
  <c r="HAA16" i="7"/>
  <c r="HAC16" i="7"/>
  <c r="HAE16" i="7"/>
  <c r="HAG16" i="7"/>
  <c r="HAI16" i="7"/>
  <c r="HAK16" i="7"/>
  <c r="HAM16" i="7"/>
  <c r="HAO16" i="7"/>
  <c r="HAQ16" i="7"/>
  <c r="HAS16" i="7"/>
  <c r="HAU16" i="7"/>
  <c r="HAW16" i="7"/>
  <c r="HAY16" i="7"/>
  <c r="HBA16" i="7"/>
  <c r="HBC16" i="7"/>
  <c r="HBE16" i="7"/>
  <c r="HBG16" i="7"/>
  <c r="HBI16" i="7"/>
  <c r="HBK16" i="7"/>
  <c r="HBM16" i="7"/>
  <c r="HBO16" i="7"/>
  <c r="HBQ16" i="7"/>
  <c r="HBS16" i="7"/>
  <c r="HBU16" i="7"/>
  <c r="HBW16" i="7"/>
  <c r="HBY16" i="7"/>
  <c r="HCA16" i="7"/>
  <c r="HCC16" i="7"/>
  <c r="HCE16" i="7"/>
  <c r="HCG16" i="7"/>
  <c r="HCI16" i="7"/>
  <c r="HCK16" i="7"/>
  <c r="HCM16" i="7"/>
  <c r="HCO16" i="7"/>
  <c r="HCQ16" i="7"/>
  <c r="HCS16" i="7"/>
  <c r="HCU16" i="7"/>
  <c r="HCW16" i="7"/>
  <c r="HCY16" i="7"/>
  <c r="HDA16" i="7"/>
  <c r="HDC16" i="7"/>
  <c r="HDE16" i="7"/>
  <c r="HDG16" i="7"/>
  <c r="HDI16" i="7"/>
  <c r="HDK16" i="7"/>
  <c r="HDM16" i="7"/>
  <c r="HDO16" i="7"/>
  <c r="HDQ16" i="7"/>
  <c r="HDS16" i="7"/>
  <c r="HDU16" i="7"/>
  <c r="HDW16" i="7"/>
  <c r="HDY16" i="7"/>
  <c r="HEA16" i="7"/>
  <c r="HEC16" i="7"/>
  <c r="HEE16" i="7"/>
  <c r="HEG16" i="7"/>
  <c r="HEI16" i="7"/>
  <c r="HEK16" i="7"/>
  <c r="HEM16" i="7"/>
  <c r="HEO16" i="7"/>
  <c r="HEQ16" i="7"/>
  <c r="HES16" i="7"/>
  <c r="HEU16" i="7"/>
  <c r="HEW16" i="7"/>
  <c r="HEY16" i="7"/>
  <c r="HFA16" i="7"/>
  <c r="HFC16" i="7"/>
  <c r="HFE16" i="7"/>
  <c r="HFG16" i="7"/>
  <c r="HFI16" i="7"/>
  <c r="HFK16" i="7"/>
  <c r="HFM16" i="7"/>
  <c r="HFO16" i="7"/>
  <c r="HFQ16" i="7"/>
  <c r="HFS16" i="7"/>
  <c r="HFU16" i="7"/>
  <c r="HFW16" i="7"/>
  <c r="HFY16" i="7"/>
  <c r="HGA16" i="7"/>
  <c r="HGC16" i="7"/>
  <c r="HGE16" i="7"/>
  <c r="HGG16" i="7"/>
  <c r="HGI16" i="7"/>
  <c r="HGK16" i="7"/>
  <c r="HGM16" i="7"/>
  <c r="HGO16" i="7"/>
  <c r="HGQ16" i="7"/>
  <c r="HGS16" i="7"/>
  <c r="HGU16" i="7"/>
  <c r="HGW16" i="7"/>
  <c r="HGY16" i="7"/>
  <c r="HHA16" i="7"/>
  <c r="HHC16" i="7"/>
  <c r="HHE16" i="7"/>
  <c r="HHG16" i="7"/>
  <c r="HHI16" i="7"/>
  <c r="HHK16" i="7"/>
  <c r="HHM16" i="7"/>
  <c r="HHO16" i="7"/>
  <c r="HHQ16" i="7"/>
  <c r="HHS16" i="7"/>
  <c r="HHU16" i="7"/>
  <c r="HHW16" i="7"/>
  <c r="HHY16" i="7"/>
  <c r="HIA16" i="7"/>
  <c r="HIC16" i="7"/>
  <c r="HIE16" i="7"/>
  <c r="HIG16" i="7"/>
  <c r="HII16" i="7"/>
  <c r="HIK16" i="7"/>
  <c r="HIM16" i="7"/>
  <c r="HIO16" i="7"/>
  <c r="HIQ16" i="7"/>
  <c r="HIS16" i="7"/>
  <c r="HIU16" i="7"/>
  <c r="HIW16" i="7"/>
  <c r="HIY16" i="7"/>
  <c r="HJA16" i="7"/>
  <c r="HJC16" i="7"/>
  <c r="HJE16" i="7"/>
  <c r="HJG16" i="7"/>
  <c r="HJI16" i="7"/>
  <c r="HJK16" i="7"/>
  <c r="HJM16" i="7"/>
  <c r="HJO16" i="7"/>
  <c r="HJQ16" i="7"/>
  <c r="HJS16" i="7"/>
  <c r="HJU16" i="7"/>
  <c r="HJW16" i="7"/>
  <c r="HJY16" i="7"/>
  <c r="HKA16" i="7"/>
  <c r="HKC16" i="7"/>
  <c r="HKE16" i="7"/>
  <c r="HKG16" i="7"/>
  <c r="HKI16" i="7"/>
  <c r="HKK16" i="7"/>
  <c r="HKM16" i="7"/>
  <c r="HKO16" i="7"/>
  <c r="HKQ16" i="7"/>
  <c r="HKS16" i="7"/>
  <c r="HKU16" i="7"/>
  <c r="HKW16" i="7"/>
  <c r="HKY16" i="7"/>
  <c r="HLA16" i="7"/>
  <c r="HLC16" i="7"/>
  <c r="HLE16" i="7"/>
  <c r="HLG16" i="7"/>
  <c r="HLI16" i="7"/>
  <c r="HLK16" i="7"/>
  <c r="HLM16" i="7"/>
  <c r="HLO16" i="7"/>
  <c r="HLQ16" i="7"/>
  <c r="HLS16" i="7"/>
  <c r="HLU16" i="7"/>
  <c r="HLW16" i="7"/>
  <c r="HLY16" i="7"/>
  <c r="HMA16" i="7"/>
  <c r="HMC16" i="7"/>
  <c r="HME16" i="7"/>
  <c r="HMG16" i="7"/>
  <c r="HMI16" i="7"/>
  <c r="HMK16" i="7"/>
  <c r="HMM16" i="7"/>
  <c r="HMO16" i="7"/>
  <c r="HMQ16" i="7"/>
  <c r="HMS16" i="7"/>
  <c r="HMU16" i="7"/>
  <c r="HMW16" i="7"/>
  <c r="HMY16" i="7"/>
  <c r="HNA16" i="7"/>
  <c r="HNC16" i="7"/>
  <c r="HNE16" i="7"/>
  <c r="HNG16" i="7"/>
  <c r="HNI16" i="7"/>
  <c r="HNK16" i="7"/>
  <c r="HNM16" i="7"/>
  <c r="HNO16" i="7"/>
  <c r="HNQ16" i="7"/>
  <c r="HNS16" i="7"/>
  <c r="HNU16" i="7"/>
  <c r="HNW16" i="7"/>
  <c r="HNY16" i="7"/>
  <c r="HOA16" i="7"/>
  <c r="HOC16" i="7"/>
  <c r="HOE16" i="7"/>
  <c r="HOG16" i="7"/>
  <c r="HOI16" i="7"/>
  <c r="HOK16" i="7"/>
  <c r="HOM16" i="7"/>
  <c r="HOO16" i="7"/>
  <c r="HOQ16" i="7"/>
  <c r="HOS16" i="7"/>
  <c r="HOU16" i="7"/>
  <c r="HOW16" i="7"/>
  <c r="HOY16" i="7"/>
  <c r="HPA16" i="7"/>
  <c r="HPC16" i="7"/>
  <c r="HPE16" i="7"/>
  <c r="HPG16" i="7"/>
  <c r="HPI16" i="7"/>
  <c r="HPK16" i="7"/>
  <c r="HPM16" i="7"/>
  <c r="HPO16" i="7"/>
  <c r="HPQ16" i="7"/>
  <c r="HPS16" i="7"/>
  <c r="HPU16" i="7"/>
  <c r="HPW16" i="7"/>
  <c r="HPY16" i="7"/>
  <c r="HQA16" i="7"/>
  <c r="HQC16" i="7"/>
  <c r="HQE16" i="7"/>
  <c r="HQG16" i="7"/>
  <c r="HQI16" i="7"/>
  <c r="HQK16" i="7"/>
  <c r="HQM16" i="7"/>
  <c r="HQO16" i="7"/>
  <c r="HQQ16" i="7"/>
  <c r="HQS16" i="7"/>
  <c r="HQU16" i="7"/>
  <c r="HQW16" i="7"/>
  <c r="HQY16" i="7"/>
  <c r="HRA16" i="7"/>
  <c r="HRC16" i="7"/>
  <c r="HRE16" i="7"/>
  <c r="HRG16" i="7"/>
  <c r="HRI16" i="7"/>
  <c r="HRK16" i="7"/>
  <c r="HRM16" i="7"/>
  <c r="HRO16" i="7"/>
  <c r="HRQ16" i="7"/>
  <c r="HRS16" i="7"/>
  <c r="HRU16" i="7"/>
  <c r="HRW16" i="7"/>
  <c r="HRY16" i="7"/>
  <c r="HSA16" i="7"/>
  <c r="HSC16" i="7"/>
  <c r="HSE16" i="7"/>
  <c r="HSG16" i="7"/>
  <c r="HSI16" i="7"/>
  <c r="HSK16" i="7"/>
  <c r="HSM16" i="7"/>
  <c r="HSO16" i="7"/>
  <c r="HSQ16" i="7"/>
  <c r="HSS16" i="7"/>
  <c r="HSU16" i="7"/>
  <c r="HSW16" i="7"/>
  <c r="HSY16" i="7"/>
  <c r="HTA16" i="7"/>
  <c r="HTC16" i="7"/>
  <c r="HTE16" i="7"/>
  <c r="HTG16" i="7"/>
  <c r="HTI16" i="7"/>
  <c r="HTK16" i="7"/>
  <c r="HTM16" i="7"/>
  <c r="HTO16" i="7"/>
  <c r="HTQ16" i="7"/>
  <c r="HTS16" i="7"/>
  <c r="HTU16" i="7"/>
  <c r="HTW16" i="7"/>
  <c r="HTY16" i="7"/>
  <c r="HUA16" i="7"/>
  <c r="HUC16" i="7"/>
  <c r="HUE16" i="7"/>
  <c r="HUG16" i="7"/>
  <c r="HUI16" i="7"/>
  <c r="HUK16" i="7"/>
  <c r="HUM16" i="7"/>
  <c r="HUO16" i="7"/>
  <c r="HUQ16" i="7"/>
  <c r="HUS16" i="7"/>
  <c r="HUU16" i="7"/>
  <c r="HUW16" i="7"/>
  <c r="HUY16" i="7"/>
  <c r="HVA16" i="7"/>
  <c r="HVC16" i="7"/>
  <c r="HVE16" i="7"/>
  <c r="HVG16" i="7"/>
  <c r="HVI16" i="7"/>
  <c r="HVK16" i="7"/>
  <c r="HVM16" i="7"/>
  <c r="HVO16" i="7"/>
  <c r="HVQ16" i="7"/>
  <c r="HVS16" i="7"/>
  <c r="HVU16" i="7"/>
  <c r="HVW16" i="7"/>
  <c r="HVY16" i="7"/>
  <c r="HWA16" i="7"/>
  <c r="HWC16" i="7"/>
  <c r="HWE16" i="7"/>
  <c r="HWG16" i="7"/>
  <c r="HWI16" i="7"/>
  <c r="HWK16" i="7"/>
  <c r="HWM16" i="7"/>
  <c r="HWO16" i="7"/>
  <c r="HWQ16" i="7"/>
  <c r="HWS16" i="7"/>
  <c r="HWU16" i="7"/>
  <c r="HWW16" i="7"/>
  <c r="HWY16" i="7"/>
  <c r="HXA16" i="7"/>
  <c r="HXC16" i="7"/>
  <c r="HXE16" i="7"/>
  <c r="HXG16" i="7"/>
  <c r="HXI16" i="7"/>
  <c r="HXK16" i="7"/>
  <c r="HXM16" i="7"/>
  <c r="HXO16" i="7"/>
  <c r="HXQ16" i="7"/>
  <c r="HXS16" i="7"/>
  <c r="HXU16" i="7"/>
  <c r="HXW16" i="7"/>
  <c r="HXY16" i="7"/>
  <c r="HYA16" i="7"/>
  <c r="HYC16" i="7"/>
  <c r="HYE16" i="7"/>
  <c r="HYG16" i="7"/>
  <c r="HYI16" i="7"/>
  <c r="HYK16" i="7"/>
  <c r="HYM16" i="7"/>
  <c r="HYO16" i="7"/>
  <c r="HYQ16" i="7"/>
  <c r="HYS16" i="7"/>
  <c r="HYU16" i="7"/>
  <c r="HYW16" i="7"/>
  <c r="HYY16" i="7"/>
  <c r="HZA16" i="7"/>
  <c r="HZC16" i="7"/>
  <c r="HZE16" i="7"/>
  <c r="HZG16" i="7"/>
  <c r="HZI16" i="7"/>
  <c r="HZK16" i="7"/>
  <c r="HZM16" i="7"/>
  <c r="HZO16" i="7"/>
  <c r="HZQ16" i="7"/>
  <c r="HZS16" i="7"/>
  <c r="HZU16" i="7"/>
  <c r="HZW16" i="7"/>
  <c r="HZY16" i="7"/>
  <c r="IAA16" i="7"/>
  <c r="IAC16" i="7"/>
  <c r="IAE16" i="7"/>
  <c r="IAG16" i="7"/>
  <c r="IAI16" i="7"/>
  <c r="IAK16" i="7"/>
  <c r="IAM16" i="7"/>
  <c r="IAO16" i="7"/>
  <c r="IAQ16" i="7"/>
  <c r="IAS16" i="7"/>
  <c r="IAU16" i="7"/>
  <c r="IAW16" i="7"/>
  <c r="IAY16" i="7"/>
  <c r="IBA16" i="7"/>
  <c r="IBC16" i="7"/>
  <c r="IBE16" i="7"/>
  <c r="IBG16" i="7"/>
  <c r="IBI16" i="7"/>
  <c r="IBK16" i="7"/>
  <c r="IBM16" i="7"/>
  <c r="IBO16" i="7"/>
  <c r="IBQ16" i="7"/>
  <c r="IBS16" i="7"/>
  <c r="IBU16" i="7"/>
  <c r="IBW16" i="7"/>
  <c r="IBY16" i="7"/>
  <c r="ICA16" i="7"/>
  <c r="ICC16" i="7"/>
  <c r="ICE16" i="7"/>
  <c r="ICG16" i="7"/>
  <c r="ICI16" i="7"/>
  <c r="ICK16" i="7"/>
  <c r="ICM16" i="7"/>
  <c r="ICO16" i="7"/>
  <c r="ICQ16" i="7"/>
  <c r="ICS16" i="7"/>
  <c r="ICU16" i="7"/>
  <c r="ICW16" i="7"/>
  <c r="ICY16" i="7"/>
  <c r="IDA16" i="7"/>
  <c r="IDC16" i="7"/>
  <c r="IDE16" i="7"/>
  <c r="IDG16" i="7"/>
  <c r="IDI16" i="7"/>
  <c r="IDK16" i="7"/>
  <c r="IDM16" i="7"/>
  <c r="IDO16" i="7"/>
  <c r="IDQ16" i="7"/>
  <c r="IDS16" i="7"/>
  <c r="IDU16" i="7"/>
  <c r="IDW16" i="7"/>
  <c r="IDY16" i="7"/>
  <c r="IEA16" i="7"/>
  <c r="IEC16" i="7"/>
  <c r="IEE16" i="7"/>
  <c r="IEG16" i="7"/>
  <c r="IEI16" i="7"/>
  <c r="IEK16" i="7"/>
  <c r="IEM16" i="7"/>
  <c r="IEO16" i="7"/>
  <c r="IEQ16" i="7"/>
  <c r="IES16" i="7"/>
  <c r="IEU16" i="7"/>
  <c r="IEW16" i="7"/>
  <c r="IEY16" i="7"/>
  <c r="IFA16" i="7"/>
  <c r="IFC16" i="7"/>
  <c r="IFE16" i="7"/>
  <c r="IFG16" i="7"/>
  <c r="IFI16" i="7"/>
  <c r="IFK16" i="7"/>
  <c r="IFM16" i="7"/>
  <c r="IFO16" i="7"/>
  <c r="IFQ16" i="7"/>
  <c r="IFS16" i="7"/>
  <c r="IFU16" i="7"/>
  <c r="IFW16" i="7"/>
  <c r="IFY16" i="7"/>
  <c r="IGA16" i="7"/>
  <c r="IGC16" i="7"/>
  <c r="IGE16" i="7"/>
  <c r="IGG16" i="7"/>
  <c r="IGI16" i="7"/>
  <c r="IGK16" i="7"/>
  <c r="IGM16" i="7"/>
  <c r="IGO16" i="7"/>
  <c r="IGQ16" i="7"/>
  <c r="IGS16" i="7"/>
  <c r="IGU16" i="7"/>
  <c r="IGW16" i="7"/>
  <c r="IGY16" i="7"/>
  <c r="IHA16" i="7"/>
  <c r="IHC16" i="7"/>
  <c r="IHE16" i="7"/>
  <c r="IHG16" i="7"/>
  <c r="IHI16" i="7"/>
  <c r="IHK16" i="7"/>
  <c r="IHM16" i="7"/>
  <c r="IHO16" i="7"/>
  <c r="IHQ16" i="7"/>
  <c r="IHS16" i="7"/>
  <c r="IHU16" i="7"/>
  <c r="IHW16" i="7"/>
  <c r="IHY16" i="7"/>
  <c r="IIA16" i="7"/>
  <c r="IIC16" i="7"/>
  <c r="IIE16" i="7"/>
  <c r="IIG16" i="7"/>
  <c r="III16" i="7"/>
  <c r="IIK16" i="7"/>
  <c r="IIM16" i="7"/>
  <c r="IIO16" i="7"/>
  <c r="IIQ16" i="7"/>
  <c r="IIS16" i="7"/>
  <c r="IIU16" i="7"/>
  <c r="IIW16" i="7"/>
  <c r="IIY16" i="7"/>
  <c r="IJA16" i="7"/>
  <c r="IJC16" i="7"/>
  <c r="IJE16" i="7"/>
  <c r="IJG16" i="7"/>
  <c r="IJI16" i="7"/>
  <c r="IJK16" i="7"/>
  <c r="IJM16" i="7"/>
  <c r="IJO16" i="7"/>
  <c r="IJQ16" i="7"/>
  <c r="IJS16" i="7"/>
  <c r="IJU16" i="7"/>
  <c r="IJW16" i="7"/>
  <c r="IJY16" i="7"/>
  <c r="IKA16" i="7"/>
  <c r="IKC16" i="7"/>
  <c r="IKE16" i="7"/>
  <c r="IKG16" i="7"/>
  <c r="IKI16" i="7"/>
  <c r="IKK16" i="7"/>
  <c r="IKM16" i="7"/>
  <c r="IKO16" i="7"/>
  <c r="IKQ16" i="7"/>
  <c r="IKS16" i="7"/>
  <c r="IKU16" i="7"/>
  <c r="IKW16" i="7"/>
  <c r="IKY16" i="7"/>
  <c r="ILA16" i="7"/>
  <c r="ILC16" i="7"/>
  <c r="ILE16" i="7"/>
  <c r="ILG16" i="7"/>
  <c r="ILI16" i="7"/>
  <c r="ILK16" i="7"/>
  <c r="ILM16" i="7"/>
  <c r="ILO16" i="7"/>
  <c r="ILQ16" i="7"/>
  <c r="ILS16" i="7"/>
  <c r="ILU16" i="7"/>
  <c r="ILW16" i="7"/>
  <c r="ILY16" i="7"/>
  <c r="IMA16" i="7"/>
  <c r="IMC16" i="7"/>
  <c r="IME16" i="7"/>
  <c r="IMG16" i="7"/>
  <c r="IMI16" i="7"/>
  <c r="IMK16" i="7"/>
  <c r="IMM16" i="7"/>
  <c r="IMO16" i="7"/>
  <c r="IMQ16" i="7"/>
  <c r="IMS16" i="7"/>
  <c r="IMU16" i="7"/>
  <c r="IMW16" i="7"/>
  <c r="IMY16" i="7"/>
  <c r="INA16" i="7"/>
  <c r="INC16" i="7"/>
  <c r="INE16" i="7"/>
  <c r="ING16" i="7"/>
  <c r="INI16" i="7"/>
  <c r="INK16" i="7"/>
  <c r="INM16" i="7"/>
  <c r="INO16" i="7"/>
  <c r="INQ16" i="7"/>
  <c r="INS16" i="7"/>
  <c r="INU16" i="7"/>
  <c r="INW16" i="7"/>
  <c r="INY16" i="7"/>
  <c r="IOA16" i="7"/>
  <c r="IOC16" i="7"/>
  <c r="IOE16" i="7"/>
  <c r="IOG16" i="7"/>
  <c r="IOI16" i="7"/>
  <c r="IOK16" i="7"/>
  <c r="IOM16" i="7"/>
  <c r="IOO16" i="7"/>
  <c r="IOQ16" i="7"/>
  <c r="IOS16" i="7"/>
  <c r="IOU16" i="7"/>
  <c r="IOW16" i="7"/>
  <c r="IOY16" i="7"/>
  <c r="IPA16" i="7"/>
  <c r="IPC16" i="7"/>
  <c r="IPE16" i="7"/>
  <c r="IPG16" i="7"/>
  <c r="IPI16" i="7"/>
  <c r="IPK16" i="7"/>
  <c r="IPM16" i="7"/>
  <c r="IPO16" i="7"/>
  <c r="IPQ16" i="7"/>
  <c r="IPS16" i="7"/>
  <c r="IPU16" i="7"/>
  <c r="IPW16" i="7"/>
  <c r="IPY16" i="7"/>
  <c r="IQA16" i="7"/>
  <c r="IQC16" i="7"/>
  <c r="IQE16" i="7"/>
  <c r="IQG16" i="7"/>
  <c r="IQI16" i="7"/>
  <c r="IQK16" i="7"/>
  <c r="IQM16" i="7"/>
  <c r="IQO16" i="7"/>
  <c r="IQQ16" i="7"/>
  <c r="IQS16" i="7"/>
  <c r="IQU16" i="7"/>
  <c r="IQW16" i="7"/>
  <c r="IQY16" i="7"/>
  <c r="IRA16" i="7"/>
  <c r="IRC16" i="7"/>
  <c r="IRE16" i="7"/>
  <c r="IRG16" i="7"/>
  <c r="IRI16" i="7"/>
  <c r="IRK16" i="7"/>
  <c r="IRM16" i="7"/>
  <c r="IRO16" i="7"/>
  <c r="IRQ16" i="7"/>
  <c r="IRS16" i="7"/>
  <c r="IRU16" i="7"/>
  <c r="IRW16" i="7"/>
  <c r="IRY16" i="7"/>
  <c r="ISA16" i="7"/>
  <c r="ISC16" i="7"/>
  <c r="ISE16" i="7"/>
  <c r="ISG16" i="7"/>
  <c r="ISI16" i="7"/>
  <c r="ISK16" i="7"/>
  <c r="ISM16" i="7"/>
  <c r="ISO16" i="7"/>
  <c r="ISQ16" i="7"/>
  <c r="ISS16" i="7"/>
  <c r="ISU16" i="7"/>
  <c r="ISW16" i="7"/>
  <c r="ISY16" i="7"/>
  <c r="ITA16" i="7"/>
  <c r="ITC16" i="7"/>
  <c r="ITE16" i="7"/>
  <c r="ITG16" i="7"/>
  <c r="ITI16" i="7"/>
  <c r="ITK16" i="7"/>
  <c r="ITM16" i="7"/>
  <c r="ITO16" i="7"/>
  <c r="ITQ16" i="7"/>
  <c r="ITS16" i="7"/>
  <c r="ITU16" i="7"/>
  <c r="ITW16" i="7"/>
  <c r="ITY16" i="7"/>
  <c r="IUA16" i="7"/>
  <c r="IUC16" i="7"/>
  <c r="IUE16" i="7"/>
  <c r="IUG16" i="7"/>
  <c r="IUI16" i="7"/>
  <c r="IUK16" i="7"/>
  <c r="IUM16" i="7"/>
  <c r="IUO16" i="7"/>
  <c r="IUQ16" i="7"/>
  <c r="IUS16" i="7"/>
  <c r="IUU16" i="7"/>
  <c r="IUW16" i="7"/>
  <c r="IUY16" i="7"/>
  <c r="IVA16" i="7"/>
  <c r="IVC16" i="7"/>
  <c r="IVE16" i="7"/>
  <c r="IVG16" i="7"/>
  <c r="IVI16" i="7"/>
  <c r="IVK16" i="7"/>
  <c r="IVM16" i="7"/>
  <c r="IVO16" i="7"/>
  <c r="IVQ16" i="7"/>
  <c r="IVS16" i="7"/>
  <c r="IVU16" i="7"/>
  <c r="IVW16" i="7"/>
  <c r="IVY16" i="7"/>
  <c r="IWA16" i="7"/>
  <c r="IWC16" i="7"/>
  <c r="IWE16" i="7"/>
  <c r="IWG16" i="7"/>
  <c r="IWI16" i="7"/>
  <c r="IWK16" i="7"/>
  <c r="IWM16" i="7"/>
  <c r="IWO16" i="7"/>
  <c r="IWQ16" i="7"/>
  <c r="IWS16" i="7"/>
  <c r="IWU16" i="7"/>
  <c r="IWW16" i="7"/>
  <c r="IWY16" i="7"/>
  <c r="IXA16" i="7"/>
  <c r="IXC16" i="7"/>
  <c r="IXE16" i="7"/>
  <c r="IXG16" i="7"/>
  <c r="IXI16" i="7"/>
  <c r="IXK16" i="7"/>
  <c r="IXM16" i="7"/>
  <c r="IXO16" i="7"/>
  <c r="IXQ16" i="7"/>
  <c r="IXS16" i="7"/>
  <c r="IXU16" i="7"/>
  <c r="IXW16" i="7"/>
  <c r="IXY16" i="7"/>
  <c r="IYA16" i="7"/>
  <c r="IYC16" i="7"/>
  <c r="IYE16" i="7"/>
  <c r="IYG16" i="7"/>
  <c r="IYI16" i="7"/>
  <c r="IYK16" i="7"/>
  <c r="IYM16" i="7"/>
  <c r="IYO16" i="7"/>
  <c r="IYQ16" i="7"/>
  <c r="IYS16" i="7"/>
  <c r="IYU16" i="7"/>
  <c r="IYW16" i="7"/>
  <c r="IYY16" i="7"/>
  <c r="IZA16" i="7"/>
  <c r="IZC16" i="7"/>
  <c r="IZE16" i="7"/>
  <c r="IZG16" i="7"/>
  <c r="IZI16" i="7"/>
  <c r="IZK16" i="7"/>
  <c r="IZM16" i="7"/>
  <c r="IZO16" i="7"/>
  <c r="IZQ16" i="7"/>
  <c r="IZS16" i="7"/>
  <c r="IZU16" i="7"/>
  <c r="IZW16" i="7"/>
  <c r="IZY16" i="7"/>
  <c r="JAA16" i="7"/>
  <c r="JAC16" i="7"/>
  <c r="JAE16" i="7"/>
  <c r="JAG16" i="7"/>
  <c r="JAI16" i="7"/>
  <c r="JAK16" i="7"/>
  <c r="JAM16" i="7"/>
  <c r="JAO16" i="7"/>
  <c r="JAQ16" i="7"/>
  <c r="JAS16" i="7"/>
  <c r="JAU16" i="7"/>
  <c r="JAW16" i="7"/>
  <c r="JAY16" i="7"/>
  <c r="JBA16" i="7"/>
  <c r="JBC16" i="7"/>
  <c r="JBE16" i="7"/>
  <c r="JBG16" i="7"/>
  <c r="JBI16" i="7"/>
  <c r="JBK16" i="7"/>
  <c r="JBM16" i="7"/>
  <c r="JBO16" i="7"/>
  <c r="JBQ16" i="7"/>
  <c r="JBS16" i="7"/>
  <c r="JBU16" i="7"/>
  <c r="JBW16" i="7"/>
  <c r="JBY16" i="7"/>
  <c r="JCA16" i="7"/>
  <c r="JCC16" i="7"/>
  <c r="JCE16" i="7"/>
  <c r="JCG16" i="7"/>
  <c r="JCI16" i="7"/>
  <c r="JCK16" i="7"/>
  <c r="JCM16" i="7"/>
  <c r="JCO16" i="7"/>
  <c r="JCQ16" i="7"/>
  <c r="JCS16" i="7"/>
  <c r="JCU16" i="7"/>
  <c r="JCW16" i="7"/>
  <c r="JCY16" i="7"/>
  <c r="JDA16" i="7"/>
  <c r="JDC16" i="7"/>
  <c r="JDE16" i="7"/>
  <c r="JDG16" i="7"/>
  <c r="JDI16" i="7"/>
  <c r="JDK16" i="7"/>
  <c r="JDM16" i="7"/>
  <c r="JDO16" i="7"/>
  <c r="JDQ16" i="7"/>
  <c r="JDS16" i="7"/>
  <c r="JDU16" i="7"/>
  <c r="JDW16" i="7"/>
  <c r="JDY16" i="7"/>
  <c r="JEA16" i="7"/>
  <c r="JEC16" i="7"/>
  <c r="JEE16" i="7"/>
  <c r="JEG16" i="7"/>
  <c r="JEI16" i="7"/>
  <c r="JEK16" i="7"/>
  <c r="JEM16" i="7"/>
  <c r="JEO16" i="7"/>
  <c r="JEQ16" i="7"/>
  <c r="JES16" i="7"/>
  <c r="JEU16" i="7"/>
  <c r="JEW16" i="7"/>
  <c r="JEY16" i="7"/>
  <c r="JFA16" i="7"/>
  <c r="JFC16" i="7"/>
  <c r="JFE16" i="7"/>
  <c r="JFG16" i="7"/>
  <c r="JFI16" i="7"/>
  <c r="JFK16" i="7"/>
  <c r="JFM16" i="7"/>
  <c r="JFO16" i="7"/>
  <c r="JFQ16" i="7"/>
  <c r="JFS16" i="7"/>
  <c r="JFU16" i="7"/>
  <c r="JFW16" i="7"/>
  <c r="JFY16" i="7"/>
  <c r="JGA16" i="7"/>
  <c r="JGC16" i="7"/>
  <c r="JGE16" i="7"/>
  <c r="JGG16" i="7"/>
  <c r="JGI16" i="7"/>
  <c r="JGK16" i="7"/>
  <c r="JGM16" i="7"/>
  <c r="JGO16" i="7"/>
  <c r="JGQ16" i="7"/>
  <c r="JGS16" i="7"/>
  <c r="JGU16" i="7"/>
  <c r="JGW16" i="7"/>
  <c r="JGY16" i="7"/>
  <c r="JHA16" i="7"/>
  <c r="JHC16" i="7"/>
  <c r="JHE16" i="7"/>
  <c r="JHG16" i="7"/>
  <c r="JHI16" i="7"/>
  <c r="JHK16" i="7"/>
  <c r="JHM16" i="7"/>
  <c r="JHO16" i="7"/>
  <c r="JHQ16" i="7"/>
  <c r="JHS16" i="7"/>
  <c r="JHU16" i="7"/>
  <c r="JHW16" i="7"/>
  <c r="JHY16" i="7"/>
  <c r="JIA16" i="7"/>
  <c r="JIC16" i="7"/>
  <c r="JIE16" i="7"/>
  <c r="JIG16" i="7"/>
  <c r="JII16" i="7"/>
  <c r="JIK16" i="7"/>
  <c r="JIM16" i="7"/>
  <c r="JIO16" i="7"/>
  <c r="JIQ16" i="7"/>
  <c r="JIS16" i="7"/>
  <c r="JIU16" i="7"/>
  <c r="JIW16" i="7"/>
  <c r="JIY16" i="7"/>
  <c r="JJA16" i="7"/>
  <c r="JJC16" i="7"/>
  <c r="JJE16" i="7"/>
  <c r="JJG16" i="7"/>
  <c r="JJI16" i="7"/>
  <c r="JJK16" i="7"/>
  <c r="JJM16" i="7"/>
  <c r="JJO16" i="7"/>
  <c r="JJQ16" i="7"/>
  <c r="JJS16" i="7"/>
  <c r="JJU16" i="7"/>
  <c r="JJW16" i="7"/>
  <c r="JJY16" i="7"/>
  <c r="JKA16" i="7"/>
  <c r="JKC16" i="7"/>
  <c r="JKE16" i="7"/>
  <c r="JKG16" i="7"/>
  <c r="JKI16" i="7"/>
  <c r="JKK16" i="7"/>
  <c r="JKM16" i="7"/>
  <c r="JKO16" i="7"/>
  <c r="JKQ16" i="7"/>
  <c r="JKS16" i="7"/>
  <c r="JKU16" i="7"/>
  <c r="JKW16" i="7"/>
  <c r="JKY16" i="7"/>
  <c r="JLA16" i="7"/>
  <c r="JLC16" i="7"/>
  <c r="JLE16" i="7"/>
  <c r="JLG16" i="7"/>
  <c r="JLI16" i="7"/>
  <c r="JLK16" i="7"/>
  <c r="JLM16" i="7"/>
  <c r="JLO16" i="7"/>
  <c r="JLQ16" i="7"/>
  <c r="JLS16" i="7"/>
  <c r="JLU16" i="7"/>
  <c r="JLW16" i="7"/>
  <c r="JLY16" i="7"/>
  <c r="JMA16" i="7"/>
  <c r="JMC16" i="7"/>
  <c r="JME16" i="7"/>
  <c r="JMG16" i="7"/>
  <c r="JMI16" i="7"/>
  <c r="JMK16" i="7"/>
  <c r="JMM16" i="7"/>
  <c r="JMO16" i="7"/>
  <c r="JMQ16" i="7"/>
  <c r="JMS16" i="7"/>
  <c r="JMU16" i="7"/>
  <c r="JMW16" i="7"/>
  <c r="JMY16" i="7"/>
  <c r="JNA16" i="7"/>
  <c r="JNC16" i="7"/>
  <c r="JNE16" i="7"/>
  <c r="JNG16" i="7"/>
  <c r="JNI16" i="7"/>
  <c r="JNK16" i="7"/>
  <c r="JNM16" i="7"/>
  <c r="JNO16" i="7"/>
  <c r="JNQ16" i="7"/>
  <c r="JNS16" i="7"/>
  <c r="JNU16" i="7"/>
  <c r="JNW16" i="7"/>
  <c r="JNY16" i="7"/>
  <c r="JOA16" i="7"/>
  <c r="JOC16" i="7"/>
  <c r="JOE16" i="7"/>
  <c r="JOG16" i="7"/>
  <c r="JOI16" i="7"/>
  <c r="JOK16" i="7"/>
  <c r="JOM16" i="7"/>
  <c r="JOO16" i="7"/>
  <c r="JOQ16" i="7"/>
  <c r="JOS16" i="7"/>
  <c r="JOU16" i="7"/>
  <c r="JOW16" i="7"/>
  <c r="JOY16" i="7"/>
  <c r="JPA16" i="7"/>
  <c r="JPC16" i="7"/>
  <c r="JPE16" i="7"/>
  <c r="JPG16" i="7"/>
  <c r="JPI16" i="7"/>
  <c r="JPK16" i="7"/>
  <c r="JPM16" i="7"/>
  <c r="JPO16" i="7"/>
  <c r="JPQ16" i="7"/>
  <c r="JPS16" i="7"/>
  <c r="JPU16" i="7"/>
  <c r="JPW16" i="7"/>
  <c r="JPY16" i="7"/>
  <c r="JQA16" i="7"/>
  <c r="JQC16" i="7"/>
  <c r="JQE16" i="7"/>
  <c r="JQG16" i="7"/>
  <c r="JQI16" i="7"/>
  <c r="JQK16" i="7"/>
  <c r="JQM16" i="7"/>
  <c r="JQO16" i="7"/>
  <c r="JQQ16" i="7"/>
  <c r="JQS16" i="7"/>
  <c r="JQU16" i="7"/>
  <c r="JQW16" i="7"/>
  <c r="JQY16" i="7"/>
  <c r="JRA16" i="7"/>
  <c r="JRC16" i="7"/>
  <c r="JRE16" i="7"/>
  <c r="JRG16" i="7"/>
  <c r="JRI16" i="7"/>
  <c r="JRK16" i="7"/>
  <c r="JRM16" i="7"/>
  <c r="JRO16" i="7"/>
  <c r="JRQ16" i="7"/>
  <c r="JRS16" i="7"/>
  <c r="JRU16" i="7"/>
  <c r="JRW16" i="7"/>
  <c r="JRY16" i="7"/>
  <c r="JSA16" i="7"/>
  <c r="JSC16" i="7"/>
  <c r="JSE16" i="7"/>
  <c r="JSG16" i="7"/>
  <c r="JSI16" i="7"/>
  <c r="JSK16" i="7"/>
  <c r="JSM16" i="7"/>
  <c r="JSO16" i="7"/>
  <c r="JSQ16" i="7"/>
  <c r="JSS16" i="7"/>
  <c r="JSU16" i="7"/>
  <c r="JSW16" i="7"/>
  <c r="JSY16" i="7"/>
  <c r="JTA16" i="7"/>
  <c r="JTC16" i="7"/>
  <c r="JTE16" i="7"/>
  <c r="JTG16" i="7"/>
  <c r="JTI16" i="7"/>
  <c r="JTK16" i="7"/>
  <c r="JTM16" i="7"/>
  <c r="JTO16" i="7"/>
  <c r="JTQ16" i="7"/>
  <c r="JTS16" i="7"/>
  <c r="JTU16" i="7"/>
  <c r="JTW16" i="7"/>
  <c r="JTY16" i="7"/>
  <c r="JUA16" i="7"/>
  <c r="JUC16" i="7"/>
  <c r="JUE16" i="7"/>
  <c r="JUG16" i="7"/>
  <c r="JUI16" i="7"/>
  <c r="JUK16" i="7"/>
  <c r="JUM16" i="7"/>
  <c r="JUO16" i="7"/>
  <c r="JUQ16" i="7"/>
  <c r="JUS16" i="7"/>
  <c r="JUU16" i="7"/>
  <c r="JUW16" i="7"/>
  <c r="JUY16" i="7"/>
  <c r="JVA16" i="7"/>
  <c r="JVC16" i="7"/>
  <c r="JVE16" i="7"/>
  <c r="JVG16" i="7"/>
  <c r="JVI16" i="7"/>
  <c r="JVK16" i="7"/>
  <c r="JVM16" i="7"/>
  <c r="JVO16" i="7"/>
  <c r="JVQ16" i="7"/>
  <c r="JVS16" i="7"/>
  <c r="JVU16" i="7"/>
  <c r="JVW16" i="7"/>
  <c r="JVY16" i="7"/>
  <c r="JWA16" i="7"/>
  <c r="JWC16" i="7"/>
  <c r="JWE16" i="7"/>
  <c r="JWG16" i="7"/>
  <c r="JWI16" i="7"/>
  <c r="JWK16" i="7"/>
  <c r="JWM16" i="7"/>
  <c r="JWO16" i="7"/>
  <c r="JWQ16" i="7"/>
  <c r="JWS16" i="7"/>
  <c r="JWU16" i="7"/>
  <c r="JWW16" i="7"/>
  <c r="JWY16" i="7"/>
  <c r="JXA16" i="7"/>
  <c r="JXC16" i="7"/>
  <c r="JXE16" i="7"/>
  <c r="JXG16" i="7"/>
  <c r="JXI16" i="7"/>
  <c r="JXK16" i="7"/>
  <c r="JXM16" i="7"/>
  <c r="JXO16" i="7"/>
  <c r="JXQ16" i="7"/>
  <c r="JXS16" i="7"/>
  <c r="JXU16" i="7"/>
  <c r="JXW16" i="7"/>
  <c r="JXY16" i="7"/>
  <c r="JYA16" i="7"/>
  <c r="JYC16" i="7"/>
  <c r="JYE16" i="7"/>
  <c r="JYG16" i="7"/>
  <c r="JYI16" i="7"/>
  <c r="JYK16" i="7"/>
  <c r="JYM16" i="7"/>
  <c r="JYO16" i="7"/>
  <c r="JYQ16" i="7"/>
  <c r="JYS16" i="7"/>
  <c r="JYU16" i="7"/>
  <c r="JYW16" i="7"/>
  <c r="JYY16" i="7"/>
  <c r="JZA16" i="7"/>
  <c r="JZC16" i="7"/>
  <c r="JZE16" i="7"/>
  <c r="JZG16" i="7"/>
  <c r="JZI16" i="7"/>
  <c r="JZK16" i="7"/>
  <c r="JZM16" i="7"/>
  <c r="JZO16" i="7"/>
  <c r="JZQ16" i="7"/>
  <c r="JZS16" i="7"/>
  <c r="JZU16" i="7"/>
  <c r="JZW16" i="7"/>
  <c r="JZY16" i="7"/>
  <c r="KAA16" i="7"/>
  <c r="KAC16" i="7"/>
  <c r="KAE16" i="7"/>
  <c r="KAG16" i="7"/>
  <c r="KAI16" i="7"/>
  <c r="KAK16" i="7"/>
  <c r="KAM16" i="7"/>
  <c r="KAO16" i="7"/>
  <c r="KAQ16" i="7"/>
  <c r="KAS16" i="7"/>
  <c r="KAU16" i="7"/>
  <c r="KAW16" i="7"/>
  <c r="KAY16" i="7"/>
  <c r="KBA16" i="7"/>
  <c r="KBC16" i="7"/>
  <c r="KBE16" i="7"/>
  <c r="KBG16" i="7"/>
  <c r="KBI16" i="7"/>
  <c r="KBK16" i="7"/>
  <c r="KBM16" i="7"/>
  <c r="KBO16" i="7"/>
  <c r="KBQ16" i="7"/>
  <c r="KBS16" i="7"/>
  <c r="KBU16" i="7"/>
  <c r="KBW16" i="7"/>
  <c r="KBY16" i="7"/>
  <c r="KCA16" i="7"/>
  <c r="KCC16" i="7"/>
  <c r="KCE16" i="7"/>
  <c r="KCG16" i="7"/>
  <c r="KCI16" i="7"/>
  <c r="KCK16" i="7"/>
  <c r="KCM16" i="7"/>
  <c r="KCO16" i="7"/>
  <c r="KCQ16" i="7"/>
  <c r="KCS16" i="7"/>
  <c r="KCU16" i="7"/>
  <c r="KCW16" i="7"/>
  <c r="KCY16" i="7"/>
  <c r="KDA16" i="7"/>
  <c r="KDC16" i="7"/>
  <c r="KDE16" i="7"/>
  <c r="KDG16" i="7"/>
  <c r="KDI16" i="7"/>
  <c r="KDK16" i="7"/>
  <c r="KDM16" i="7"/>
  <c r="KDO16" i="7"/>
  <c r="KDQ16" i="7"/>
  <c r="KDS16" i="7"/>
  <c r="KDU16" i="7"/>
  <c r="KDW16" i="7"/>
  <c r="KDY16" i="7"/>
  <c r="KEA16" i="7"/>
  <c r="KEC16" i="7"/>
  <c r="KEE16" i="7"/>
  <c r="KEG16" i="7"/>
  <c r="KEI16" i="7"/>
  <c r="KEK16" i="7"/>
  <c r="KEM16" i="7"/>
  <c r="KEO16" i="7"/>
  <c r="KEQ16" i="7"/>
  <c r="KES16" i="7"/>
  <c r="KEU16" i="7"/>
  <c r="KEW16" i="7"/>
  <c r="KEY16" i="7"/>
  <c r="KFA16" i="7"/>
  <c r="KFC16" i="7"/>
  <c r="KFE16" i="7"/>
  <c r="KFG16" i="7"/>
  <c r="KFI16" i="7"/>
  <c r="KFK16" i="7"/>
  <c r="KFM16" i="7"/>
  <c r="KFO16" i="7"/>
  <c r="KFQ16" i="7"/>
  <c r="KFS16" i="7"/>
  <c r="KFU16" i="7"/>
  <c r="KFW16" i="7"/>
  <c r="KFY16" i="7"/>
  <c r="KGA16" i="7"/>
  <c r="KGC16" i="7"/>
  <c r="KGE16" i="7"/>
  <c r="KGG16" i="7"/>
  <c r="KGI16" i="7"/>
  <c r="KGK16" i="7"/>
  <c r="KGM16" i="7"/>
  <c r="KGO16" i="7"/>
  <c r="KGQ16" i="7"/>
  <c r="KGS16" i="7"/>
  <c r="KGU16" i="7"/>
  <c r="KGW16" i="7"/>
  <c r="KGY16" i="7"/>
  <c r="KHA16" i="7"/>
  <c r="KHC16" i="7"/>
  <c r="KHE16" i="7"/>
  <c r="KHG16" i="7"/>
  <c r="KHI16" i="7"/>
  <c r="KHK16" i="7"/>
  <c r="KHM16" i="7"/>
  <c r="KHO16" i="7"/>
  <c r="KHQ16" i="7"/>
  <c r="KHS16" i="7"/>
  <c r="KHU16" i="7"/>
  <c r="KHW16" i="7"/>
  <c r="KHY16" i="7"/>
  <c r="KIA16" i="7"/>
  <c r="KIC16" i="7"/>
  <c r="KIE16" i="7"/>
  <c r="KIG16" i="7"/>
  <c r="KII16" i="7"/>
  <c r="KIK16" i="7"/>
  <c r="KIM16" i="7"/>
  <c r="KIO16" i="7"/>
  <c r="KIQ16" i="7"/>
  <c r="KIS16" i="7"/>
  <c r="KIU16" i="7"/>
  <c r="KIW16" i="7"/>
  <c r="KIY16" i="7"/>
  <c r="KJA16" i="7"/>
  <c r="KJC16" i="7"/>
  <c r="KJE16" i="7"/>
  <c r="KJG16" i="7"/>
  <c r="KJI16" i="7"/>
  <c r="KJK16" i="7"/>
  <c r="KJM16" i="7"/>
  <c r="KJO16" i="7"/>
  <c r="KJQ16" i="7"/>
  <c r="KJS16" i="7"/>
  <c r="KJU16" i="7"/>
  <c r="KJW16" i="7"/>
  <c r="KJY16" i="7"/>
  <c r="KKA16" i="7"/>
  <c r="KKC16" i="7"/>
  <c r="KKE16" i="7"/>
  <c r="KKG16" i="7"/>
  <c r="KKI16" i="7"/>
  <c r="KKK16" i="7"/>
  <c r="KKM16" i="7"/>
  <c r="KKO16" i="7"/>
  <c r="KKQ16" i="7"/>
  <c r="KKS16" i="7"/>
  <c r="KKU16" i="7"/>
  <c r="KKW16" i="7"/>
  <c r="KKY16" i="7"/>
  <c r="KLA16" i="7"/>
  <c r="KLC16" i="7"/>
  <c r="KLE16" i="7"/>
  <c r="KLG16" i="7"/>
  <c r="KLI16" i="7"/>
  <c r="KLK16" i="7"/>
  <c r="KLM16" i="7"/>
  <c r="KLO16" i="7"/>
  <c r="KLQ16" i="7"/>
  <c r="KLS16" i="7"/>
  <c r="KLU16" i="7"/>
  <c r="KLW16" i="7"/>
  <c r="KLY16" i="7"/>
  <c r="KMA16" i="7"/>
  <c r="KMC16" i="7"/>
  <c r="KME16" i="7"/>
  <c r="KMG16" i="7"/>
  <c r="KMI16" i="7"/>
  <c r="KMK16" i="7"/>
  <c r="KMM16" i="7"/>
  <c r="KMO16" i="7"/>
  <c r="KMQ16" i="7"/>
  <c r="KMS16" i="7"/>
  <c r="KMU16" i="7"/>
  <c r="KMW16" i="7"/>
  <c r="KMY16" i="7"/>
  <c r="KNA16" i="7"/>
  <c r="KNC16" i="7"/>
  <c r="KNE16" i="7"/>
  <c r="KNG16" i="7"/>
  <c r="KNI16" i="7"/>
  <c r="KNK16" i="7"/>
  <c r="KNM16" i="7"/>
  <c r="KNO16" i="7"/>
  <c r="KNQ16" i="7"/>
  <c r="KNS16" i="7"/>
  <c r="KNU16" i="7"/>
  <c r="KNW16" i="7"/>
  <c r="KNY16" i="7"/>
  <c r="KOA16" i="7"/>
  <c r="KOC16" i="7"/>
  <c r="KOE16" i="7"/>
  <c r="KOG16" i="7"/>
  <c r="KOI16" i="7"/>
  <c r="KOK16" i="7"/>
  <c r="KOM16" i="7"/>
  <c r="KOO16" i="7"/>
  <c r="KOQ16" i="7"/>
  <c r="KOS16" i="7"/>
  <c r="KOU16" i="7"/>
  <c r="KOW16" i="7"/>
  <c r="KOY16" i="7"/>
  <c r="KPA16" i="7"/>
  <c r="KPC16" i="7"/>
  <c r="KPE16" i="7"/>
  <c r="KPG16" i="7"/>
  <c r="KPI16" i="7"/>
  <c r="KPK16" i="7"/>
  <c r="KPM16" i="7"/>
  <c r="KPO16" i="7"/>
  <c r="KPQ16" i="7"/>
  <c r="KPS16" i="7"/>
  <c r="KPU16" i="7"/>
  <c r="KPW16" i="7"/>
  <c r="KPY16" i="7"/>
  <c r="KQA16" i="7"/>
  <c r="KQC16" i="7"/>
  <c r="KQE16" i="7"/>
  <c r="KQG16" i="7"/>
  <c r="KQI16" i="7"/>
  <c r="KQK16" i="7"/>
  <c r="KQM16" i="7"/>
  <c r="KQO16" i="7"/>
  <c r="KQQ16" i="7"/>
  <c r="KQS16" i="7"/>
  <c r="KQU16" i="7"/>
  <c r="KQW16" i="7"/>
  <c r="KQY16" i="7"/>
  <c r="KRA16" i="7"/>
  <c r="KRC16" i="7"/>
  <c r="KRE16" i="7"/>
  <c r="KRG16" i="7"/>
  <c r="KRI16" i="7"/>
  <c r="KRK16" i="7"/>
  <c r="KRM16" i="7"/>
  <c r="KRO16" i="7"/>
  <c r="KRQ16" i="7"/>
  <c r="KRS16" i="7"/>
  <c r="KRU16" i="7"/>
  <c r="KRW16" i="7"/>
  <c r="KRY16" i="7"/>
  <c r="KSA16" i="7"/>
  <c r="KSC16" i="7"/>
  <c r="KSE16" i="7"/>
  <c r="KSG16" i="7"/>
  <c r="KSI16" i="7"/>
  <c r="KSK16" i="7"/>
  <c r="KSM16" i="7"/>
  <c r="KSO16" i="7"/>
  <c r="KSQ16" i="7"/>
  <c r="KSS16" i="7"/>
  <c r="KSU16" i="7"/>
  <c r="KSW16" i="7"/>
  <c r="KSY16" i="7"/>
  <c r="KTA16" i="7"/>
  <c r="KTC16" i="7"/>
  <c r="KTE16" i="7"/>
  <c r="KTG16" i="7"/>
  <c r="KTI16" i="7"/>
  <c r="KTK16" i="7"/>
  <c r="KTM16" i="7"/>
  <c r="KTO16" i="7"/>
  <c r="KTQ16" i="7"/>
  <c r="KTS16" i="7"/>
  <c r="KTU16" i="7"/>
  <c r="KTW16" i="7"/>
  <c r="KTY16" i="7"/>
  <c r="KUA16" i="7"/>
  <c r="KUC16" i="7"/>
  <c r="KUE16" i="7"/>
  <c r="KUG16" i="7"/>
  <c r="KUI16" i="7"/>
  <c r="KUK16" i="7"/>
  <c r="KUM16" i="7"/>
  <c r="KUO16" i="7"/>
  <c r="KUQ16" i="7"/>
  <c r="KUS16" i="7"/>
  <c r="KUU16" i="7"/>
  <c r="KUW16" i="7"/>
  <c r="KUY16" i="7"/>
  <c r="KVA16" i="7"/>
  <c r="KVC16" i="7"/>
  <c r="KVE16" i="7"/>
  <c r="KVG16" i="7"/>
  <c r="KVI16" i="7"/>
  <c r="KVK16" i="7"/>
  <c r="KVM16" i="7"/>
  <c r="KVO16" i="7"/>
  <c r="KVQ16" i="7"/>
  <c r="KVS16" i="7"/>
  <c r="KVU16" i="7"/>
  <c r="KVW16" i="7"/>
  <c r="KVY16" i="7"/>
  <c r="KWA16" i="7"/>
  <c r="KWC16" i="7"/>
  <c r="KWE16" i="7"/>
  <c r="KWG16" i="7"/>
  <c r="KWI16" i="7"/>
  <c r="KWK16" i="7"/>
  <c r="KWM16" i="7"/>
  <c r="KWO16" i="7"/>
  <c r="KWQ16" i="7"/>
  <c r="KWS16" i="7"/>
  <c r="KWU16" i="7"/>
  <c r="KWW16" i="7"/>
  <c r="KWY16" i="7"/>
  <c r="KXA16" i="7"/>
  <c r="KXC16" i="7"/>
  <c r="KXE16" i="7"/>
  <c r="KXG16" i="7"/>
  <c r="KXI16" i="7"/>
  <c r="KXK16" i="7"/>
  <c r="KXM16" i="7"/>
  <c r="KXO16" i="7"/>
  <c r="KXQ16" i="7"/>
  <c r="KXS16" i="7"/>
  <c r="KXU16" i="7"/>
  <c r="KXW16" i="7"/>
  <c r="KXY16" i="7"/>
  <c r="KYA16" i="7"/>
  <c r="KYC16" i="7"/>
  <c r="KYE16" i="7"/>
  <c r="KYG16" i="7"/>
  <c r="KYI16" i="7"/>
  <c r="KYK16" i="7"/>
  <c r="KYM16" i="7"/>
  <c r="KYO16" i="7"/>
  <c r="KYQ16" i="7"/>
  <c r="KYS16" i="7"/>
  <c r="KYU16" i="7"/>
  <c r="KYW16" i="7"/>
  <c r="KYY16" i="7"/>
  <c r="KZA16" i="7"/>
  <c r="KZC16" i="7"/>
  <c r="KZE16" i="7"/>
  <c r="KZG16" i="7"/>
  <c r="KZI16" i="7"/>
  <c r="KZK16" i="7"/>
  <c r="KZM16" i="7"/>
  <c r="KZO16" i="7"/>
  <c r="KZQ16" i="7"/>
  <c r="KZS16" i="7"/>
  <c r="KZU16" i="7"/>
  <c r="KZW16" i="7"/>
  <c r="KZY16" i="7"/>
  <c r="LAA16" i="7"/>
  <c r="LAC16" i="7"/>
  <c r="LAE16" i="7"/>
  <c r="LAG16" i="7"/>
  <c r="LAI16" i="7"/>
  <c r="LAK16" i="7"/>
  <c r="LAM16" i="7"/>
  <c r="LAO16" i="7"/>
  <c r="LAQ16" i="7"/>
  <c r="LAS16" i="7"/>
  <c r="LAU16" i="7"/>
  <c r="LAW16" i="7"/>
  <c r="LAY16" i="7"/>
  <c r="LBA16" i="7"/>
  <c r="LBC16" i="7"/>
  <c r="LBE16" i="7"/>
  <c r="LBG16" i="7"/>
  <c r="LBI16" i="7"/>
  <c r="LBK16" i="7"/>
  <c r="LBM16" i="7"/>
  <c r="LBO16" i="7"/>
  <c r="LBQ16" i="7"/>
  <c r="LBS16" i="7"/>
  <c r="LBU16" i="7"/>
  <c r="LBW16" i="7"/>
  <c r="LBY16" i="7"/>
  <c r="LCA16" i="7"/>
  <c r="LCC16" i="7"/>
  <c r="LCE16" i="7"/>
  <c r="LCG16" i="7"/>
  <c r="LCI16" i="7"/>
  <c r="LCK16" i="7"/>
  <c r="LCM16" i="7"/>
  <c r="LCO16" i="7"/>
  <c r="LCQ16" i="7"/>
  <c r="LCS16" i="7"/>
  <c r="LCU16" i="7"/>
  <c r="LCW16" i="7"/>
  <c r="LCY16" i="7"/>
  <c r="LDA16" i="7"/>
  <c r="LDC16" i="7"/>
  <c r="LDE16" i="7"/>
  <c r="LDG16" i="7"/>
  <c r="LDI16" i="7"/>
  <c r="LDK16" i="7"/>
  <c r="LDM16" i="7"/>
  <c r="LDO16" i="7"/>
  <c r="LDQ16" i="7"/>
  <c r="LDS16" i="7"/>
  <c r="LDU16" i="7"/>
  <c r="LDW16" i="7"/>
  <c r="LDY16" i="7"/>
  <c r="LEA16" i="7"/>
  <c r="LEC16" i="7"/>
  <c r="LEE16" i="7"/>
  <c r="LEG16" i="7"/>
  <c r="LEI16" i="7"/>
  <c r="LEK16" i="7"/>
  <c r="LEM16" i="7"/>
  <c r="LEO16" i="7"/>
  <c r="LEQ16" i="7"/>
  <c r="LES16" i="7"/>
  <c r="LEU16" i="7"/>
  <c r="LEW16" i="7"/>
  <c r="LEY16" i="7"/>
  <c r="LFA16" i="7"/>
  <c r="LFC16" i="7"/>
  <c r="LFE16" i="7"/>
  <c r="LFG16" i="7"/>
  <c r="LFI16" i="7"/>
  <c r="LFK16" i="7"/>
  <c r="LFM16" i="7"/>
  <c r="LFO16" i="7"/>
  <c r="LFQ16" i="7"/>
  <c r="LFS16" i="7"/>
  <c r="LFU16" i="7"/>
  <c r="LFW16" i="7"/>
  <c r="LFY16" i="7"/>
  <c r="LGA16" i="7"/>
  <c r="LGC16" i="7"/>
  <c r="LGE16" i="7"/>
  <c r="LGG16" i="7"/>
  <c r="LGI16" i="7"/>
  <c r="LGK16" i="7"/>
  <c r="LGM16" i="7"/>
  <c r="LGO16" i="7"/>
  <c r="LGQ16" i="7"/>
  <c r="LGS16" i="7"/>
  <c r="LGU16" i="7"/>
  <c r="LGW16" i="7"/>
  <c r="LGY16" i="7"/>
  <c r="LHA16" i="7"/>
  <c r="LHC16" i="7"/>
  <c r="LHE16" i="7"/>
  <c r="LHG16" i="7"/>
  <c r="LHI16" i="7"/>
  <c r="LHK16" i="7"/>
  <c r="LHM16" i="7"/>
  <c r="LHO16" i="7"/>
  <c r="LHQ16" i="7"/>
  <c r="LHS16" i="7"/>
  <c r="LHU16" i="7"/>
  <c r="LHW16" i="7"/>
  <c r="LHY16" i="7"/>
  <c r="LIA16" i="7"/>
  <c r="LIC16" i="7"/>
  <c r="LIE16" i="7"/>
  <c r="LIG16" i="7"/>
  <c r="LII16" i="7"/>
  <c r="LIK16" i="7"/>
  <c r="LIM16" i="7"/>
  <c r="LIO16" i="7"/>
  <c r="LIQ16" i="7"/>
  <c r="LIS16" i="7"/>
  <c r="LIU16" i="7"/>
  <c r="LIW16" i="7"/>
  <c r="LIY16" i="7"/>
  <c r="LJA16" i="7"/>
  <c r="LJC16" i="7"/>
  <c r="LJE16" i="7"/>
  <c r="LJG16" i="7"/>
  <c r="LJI16" i="7"/>
  <c r="LJK16" i="7"/>
  <c r="LJM16" i="7"/>
  <c r="LJO16" i="7"/>
  <c r="LJQ16" i="7"/>
  <c r="LJS16" i="7"/>
  <c r="LJU16" i="7"/>
  <c r="LJW16" i="7"/>
  <c r="LJY16" i="7"/>
  <c r="LKA16" i="7"/>
  <c r="LKC16" i="7"/>
  <c r="LKE16" i="7"/>
  <c r="LKG16" i="7"/>
  <c r="LKI16" i="7"/>
  <c r="LKK16" i="7"/>
  <c r="LKM16" i="7"/>
  <c r="LKO16" i="7"/>
  <c r="LKQ16" i="7"/>
  <c r="LKS16" i="7"/>
  <c r="LKU16" i="7"/>
  <c r="LKW16" i="7"/>
  <c r="LKY16" i="7"/>
  <c r="LLA16" i="7"/>
  <c r="LLC16" i="7"/>
  <c r="LLE16" i="7"/>
  <c r="LLG16" i="7"/>
  <c r="LLI16" i="7"/>
  <c r="LLK16" i="7"/>
  <c r="LLM16" i="7"/>
  <c r="LLO16" i="7"/>
  <c r="LLQ16" i="7"/>
  <c r="LLS16" i="7"/>
  <c r="LLU16" i="7"/>
  <c r="LLW16" i="7"/>
  <c r="LLY16" i="7"/>
  <c r="LMA16" i="7"/>
  <c r="LMC16" i="7"/>
  <c r="LME16" i="7"/>
  <c r="LMG16" i="7"/>
  <c r="LMI16" i="7"/>
  <c r="LMK16" i="7"/>
  <c r="LMM16" i="7"/>
  <c r="LMO16" i="7"/>
  <c r="LMQ16" i="7"/>
  <c r="LMS16" i="7"/>
  <c r="LMU16" i="7"/>
  <c r="LMW16" i="7"/>
  <c r="LMY16" i="7"/>
  <c r="LNA16" i="7"/>
  <c r="LNC16" i="7"/>
  <c r="LNE16" i="7"/>
  <c r="LNG16" i="7"/>
  <c r="LNI16" i="7"/>
  <c r="LNK16" i="7"/>
  <c r="LNM16" i="7"/>
  <c r="LNO16" i="7"/>
  <c r="LNQ16" i="7"/>
  <c r="LNS16" i="7"/>
  <c r="LNU16" i="7"/>
  <c r="LNW16" i="7"/>
  <c r="LNY16" i="7"/>
  <c r="LOA16" i="7"/>
  <c r="LOC16" i="7"/>
  <c r="LOE16" i="7"/>
  <c r="LOG16" i="7"/>
  <c r="LOI16" i="7"/>
  <c r="LOK16" i="7"/>
  <c r="LOM16" i="7"/>
  <c r="LOO16" i="7"/>
  <c r="LOQ16" i="7"/>
  <c r="LOS16" i="7"/>
  <c r="LOU16" i="7"/>
  <c r="LOW16" i="7"/>
  <c r="LOY16" i="7"/>
  <c r="LPA16" i="7"/>
  <c r="LPC16" i="7"/>
  <c r="LPE16" i="7"/>
  <c r="LPG16" i="7"/>
  <c r="LPI16" i="7"/>
  <c r="LPK16" i="7"/>
  <c r="LPM16" i="7"/>
  <c r="LPO16" i="7"/>
  <c r="LPQ16" i="7"/>
  <c r="LPS16" i="7"/>
  <c r="LPU16" i="7"/>
  <c r="LPW16" i="7"/>
  <c r="LPY16" i="7"/>
  <c r="LQA16" i="7"/>
  <c r="LQC16" i="7"/>
  <c r="LQE16" i="7"/>
  <c r="LQG16" i="7"/>
  <c r="LQI16" i="7"/>
  <c r="LQK16" i="7"/>
  <c r="LQM16" i="7"/>
  <c r="LQO16" i="7"/>
  <c r="LQQ16" i="7"/>
  <c r="LQS16" i="7"/>
  <c r="LQU16" i="7"/>
  <c r="LQW16" i="7"/>
  <c r="LQY16" i="7"/>
  <c r="LRA16" i="7"/>
  <c r="LRC16" i="7"/>
  <c r="LRE16" i="7"/>
  <c r="LRG16" i="7"/>
  <c r="LRI16" i="7"/>
  <c r="LRK16" i="7"/>
  <c r="LRM16" i="7"/>
  <c r="LRO16" i="7"/>
  <c r="LRQ16" i="7"/>
  <c r="LRS16" i="7"/>
  <c r="LRU16" i="7"/>
  <c r="LRW16" i="7"/>
  <c r="LRY16" i="7"/>
  <c r="LSA16" i="7"/>
  <c r="LSC16" i="7"/>
  <c r="LSE16" i="7"/>
  <c r="LSG16" i="7"/>
  <c r="LSI16" i="7"/>
  <c r="LSK16" i="7"/>
  <c r="LSM16" i="7"/>
  <c r="LSO16" i="7"/>
  <c r="LSQ16" i="7"/>
  <c r="LSS16" i="7"/>
  <c r="LSU16" i="7"/>
  <c r="LSW16" i="7"/>
  <c r="LSY16" i="7"/>
  <c r="LTA16" i="7"/>
  <c r="LTC16" i="7"/>
  <c r="LTE16" i="7"/>
  <c r="LTG16" i="7"/>
  <c r="LTI16" i="7"/>
  <c r="LTK16" i="7"/>
  <c r="LTM16" i="7"/>
  <c r="LTO16" i="7"/>
  <c r="LTQ16" i="7"/>
  <c r="LTS16" i="7"/>
  <c r="LTU16" i="7"/>
  <c r="LTW16" i="7"/>
  <c r="LTY16" i="7"/>
  <c r="LUA16" i="7"/>
  <c r="LUC16" i="7"/>
  <c r="LUE16" i="7"/>
  <c r="LUG16" i="7"/>
  <c r="LUI16" i="7"/>
  <c r="LUK16" i="7"/>
  <c r="LUM16" i="7"/>
  <c r="LUO16" i="7"/>
  <c r="LUQ16" i="7"/>
  <c r="LUS16" i="7"/>
  <c r="LUU16" i="7"/>
  <c r="LUW16" i="7"/>
  <c r="LUY16" i="7"/>
  <c r="LVA16" i="7"/>
  <c r="LVC16" i="7"/>
  <c r="LVE16" i="7"/>
  <c r="LVG16" i="7"/>
  <c r="LVI16" i="7"/>
  <c r="LVK16" i="7"/>
  <c r="LVM16" i="7"/>
  <c r="LVO16" i="7"/>
  <c r="LVQ16" i="7"/>
  <c r="LVS16" i="7"/>
  <c r="LVU16" i="7"/>
  <c r="LVW16" i="7"/>
  <c r="LVY16" i="7"/>
  <c r="LWA16" i="7"/>
  <c r="LWC16" i="7"/>
  <c r="LWE16" i="7"/>
  <c r="LWG16" i="7"/>
  <c r="LWI16" i="7"/>
  <c r="LWK16" i="7"/>
  <c r="LWM16" i="7"/>
  <c r="LWO16" i="7"/>
  <c r="LWQ16" i="7"/>
  <c r="LWS16" i="7"/>
  <c r="LWU16" i="7"/>
  <c r="LWW16" i="7"/>
  <c r="LWY16" i="7"/>
  <c r="LXA16" i="7"/>
  <c r="LXC16" i="7"/>
  <c r="LXE16" i="7"/>
  <c r="LXG16" i="7"/>
  <c r="LXI16" i="7"/>
  <c r="LXK16" i="7"/>
  <c r="LXM16" i="7"/>
  <c r="LXO16" i="7"/>
  <c r="LXQ16" i="7"/>
  <c r="LXS16" i="7"/>
  <c r="LXU16" i="7"/>
  <c r="LXW16" i="7"/>
  <c r="LXY16" i="7"/>
  <c r="LYA16" i="7"/>
  <c r="LYC16" i="7"/>
  <c r="LYE16" i="7"/>
  <c r="LYG16" i="7"/>
  <c r="LYI16" i="7"/>
  <c r="LYK16" i="7"/>
  <c r="LYM16" i="7"/>
  <c r="LYO16" i="7"/>
  <c r="LYQ16" i="7"/>
  <c r="LYS16" i="7"/>
  <c r="LYU16" i="7"/>
  <c r="LYW16" i="7"/>
  <c r="LYY16" i="7"/>
  <c r="LZA16" i="7"/>
  <c r="LZC16" i="7"/>
  <c r="LZE16" i="7"/>
  <c r="LZG16" i="7"/>
  <c r="LZI16" i="7"/>
  <c r="LZK16" i="7"/>
  <c r="LZM16" i="7"/>
  <c r="LZO16" i="7"/>
  <c r="LZQ16" i="7"/>
  <c r="LZS16" i="7"/>
  <c r="LZU16" i="7"/>
  <c r="LZW16" i="7"/>
  <c r="LZY16" i="7"/>
  <c r="MAA16" i="7"/>
  <c r="MAC16" i="7"/>
  <c r="MAE16" i="7"/>
  <c r="MAG16" i="7"/>
  <c r="MAI16" i="7"/>
  <c r="MAK16" i="7"/>
  <c r="MAM16" i="7"/>
  <c r="MAO16" i="7"/>
  <c r="MAQ16" i="7"/>
  <c r="MAS16" i="7"/>
  <c r="MAU16" i="7"/>
  <c r="MAW16" i="7"/>
  <c r="MAY16" i="7"/>
  <c r="MBA16" i="7"/>
  <c r="MBC16" i="7"/>
  <c r="MBE16" i="7"/>
  <c r="MBG16" i="7"/>
  <c r="MBI16" i="7"/>
  <c r="MBK16" i="7"/>
  <c r="MBM16" i="7"/>
  <c r="MBO16" i="7"/>
  <c r="MBQ16" i="7"/>
  <c r="MBS16" i="7"/>
  <c r="MBU16" i="7"/>
  <c r="MBW16" i="7"/>
  <c r="MBY16" i="7"/>
  <c r="MCA16" i="7"/>
  <c r="MCC16" i="7"/>
  <c r="MCE16" i="7"/>
  <c r="MCG16" i="7"/>
  <c r="MCI16" i="7"/>
  <c r="MCK16" i="7"/>
  <c r="MCM16" i="7"/>
  <c r="MCO16" i="7"/>
  <c r="MCQ16" i="7"/>
  <c r="MCS16" i="7"/>
  <c r="MCU16" i="7"/>
  <c r="MCW16" i="7"/>
  <c r="MCY16" i="7"/>
  <c r="MDA16" i="7"/>
  <c r="MDC16" i="7"/>
  <c r="MDE16" i="7"/>
  <c r="MDG16" i="7"/>
  <c r="MDI16" i="7"/>
  <c r="MDK16" i="7"/>
  <c r="MDM16" i="7"/>
  <c r="MDO16" i="7"/>
  <c r="MDQ16" i="7"/>
  <c r="MDS16" i="7"/>
  <c r="MDU16" i="7"/>
  <c r="MDW16" i="7"/>
  <c r="MDY16" i="7"/>
  <c r="MEA16" i="7"/>
  <c r="MEC16" i="7"/>
  <c r="MEE16" i="7"/>
  <c r="MEG16" i="7"/>
  <c r="MEI16" i="7"/>
  <c r="MEK16" i="7"/>
  <c r="MEM16" i="7"/>
  <c r="MEO16" i="7"/>
  <c r="MEQ16" i="7"/>
  <c r="MES16" i="7"/>
  <c r="MEU16" i="7"/>
  <c r="MEW16" i="7"/>
  <c r="MEY16" i="7"/>
  <c r="MFA16" i="7"/>
  <c r="MFC16" i="7"/>
  <c r="MFE16" i="7"/>
  <c r="MFG16" i="7"/>
  <c r="MFI16" i="7"/>
  <c r="MFK16" i="7"/>
  <c r="MFM16" i="7"/>
  <c r="MFO16" i="7"/>
  <c r="MFQ16" i="7"/>
  <c r="MFS16" i="7"/>
  <c r="MFU16" i="7"/>
  <c r="MFW16" i="7"/>
  <c r="MFY16" i="7"/>
  <c r="MGA16" i="7"/>
  <c r="MGC16" i="7"/>
  <c r="MGE16" i="7"/>
  <c r="MGG16" i="7"/>
  <c r="MGI16" i="7"/>
  <c r="MGK16" i="7"/>
  <c r="MGM16" i="7"/>
  <c r="MGO16" i="7"/>
  <c r="MGQ16" i="7"/>
  <c r="MGS16" i="7"/>
  <c r="MGU16" i="7"/>
  <c r="MGW16" i="7"/>
  <c r="MGY16" i="7"/>
  <c r="MHA16" i="7"/>
  <c r="MHC16" i="7"/>
  <c r="MHE16" i="7"/>
  <c r="MHG16" i="7"/>
  <c r="MHI16" i="7"/>
  <c r="MHK16" i="7"/>
  <c r="MHM16" i="7"/>
  <c r="MHO16" i="7"/>
  <c r="MHQ16" i="7"/>
  <c r="MHS16" i="7"/>
  <c r="MHU16" i="7"/>
  <c r="MHW16" i="7"/>
  <c r="MHY16" i="7"/>
  <c r="MIA16" i="7"/>
  <c r="MIC16" i="7"/>
  <c r="MIE16" i="7"/>
  <c r="MIG16" i="7"/>
  <c r="MII16" i="7"/>
  <c r="MIK16" i="7"/>
  <c r="MIM16" i="7"/>
  <c r="MIO16" i="7"/>
  <c r="MIQ16" i="7"/>
  <c r="MIS16" i="7"/>
  <c r="MIU16" i="7"/>
  <c r="MIW16" i="7"/>
  <c r="MIY16" i="7"/>
  <c r="MJA16" i="7"/>
  <c r="MJC16" i="7"/>
  <c r="MJE16" i="7"/>
  <c r="MJG16" i="7"/>
  <c r="MJI16" i="7"/>
  <c r="MJK16" i="7"/>
  <c r="MJM16" i="7"/>
  <c r="MJO16" i="7"/>
  <c r="MJQ16" i="7"/>
  <c r="MJS16" i="7"/>
  <c r="MJU16" i="7"/>
  <c r="MJW16" i="7"/>
  <c r="MJY16" i="7"/>
  <c r="MKA16" i="7"/>
  <c r="MKC16" i="7"/>
  <c r="MKE16" i="7"/>
  <c r="MKG16" i="7"/>
  <c r="MKI16" i="7"/>
  <c r="MKK16" i="7"/>
  <c r="MKM16" i="7"/>
  <c r="MKO16" i="7"/>
  <c r="MKQ16" i="7"/>
  <c r="MKS16" i="7"/>
  <c r="MKU16" i="7"/>
  <c r="MKW16" i="7"/>
  <c r="MKY16" i="7"/>
  <c r="MLA16" i="7"/>
  <c r="MLC16" i="7"/>
  <c r="MLE16" i="7"/>
  <c r="MLG16" i="7"/>
  <c r="MLI16" i="7"/>
  <c r="MLK16" i="7"/>
  <c r="MLM16" i="7"/>
  <c r="MLO16" i="7"/>
  <c r="MLQ16" i="7"/>
  <c r="MLS16" i="7"/>
  <c r="MLU16" i="7"/>
  <c r="MLW16" i="7"/>
  <c r="MLY16" i="7"/>
  <c r="MMA16" i="7"/>
  <c r="MMC16" i="7"/>
  <c r="MME16" i="7"/>
  <c r="MMG16" i="7"/>
  <c r="MMI16" i="7"/>
  <c r="MMK16" i="7"/>
  <c r="MMM16" i="7"/>
  <c r="MMO16" i="7"/>
  <c r="MMQ16" i="7"/>
  <c r="MMS16" i="7"/>
  <c r="MMU16" i="7"/>
  <c r="MMW16" i="7"/>
  <c r="MMY16" i="7"/>
  <c r="MNA16" i="7"/>
  <c r="MNC16" i="7"/>
  <c r="MNE16" i="7"/>
  <c r="MNG16" i="7"/>
  <c r="MNI16" i="7"/>
  <c r="MNK16" i="7"/>
  <c r="MNM16" i="7"/>
  <c r="MNO16" i="7"/>
  <c r="MNQ16" i="7"/>
  <c r="MNS16" i="7"/>
  <c r="MNU16" i="7"/>
  <c r="MNW16" i="7"/>
  <c r="MNY16" i="7"/>
  <c r="MOA16" i="7"/>
  <c r="MOC16" i="7"/>
  <c r="MOE16" i="7"/>
  <c r="MOG16" i="7"/>
  <c r="MOI16" i="7"/>
  <c r="MOK16" i="7"/>
  <c r="MOM16" i="7"/>
  <c r="MOO16" i="7"/>
  <c r="MOQ16" i="7"/>
  <c r="MOS16" i="7"/>
  <c r="MOU16" i="7"/>
  <c r="MOW16" i="7"/>
  <c r="MOY16" i="7"/>
  <c r="MPA16" i="7"/>
  <c r="MPC16" i="7"/>
  <c r="MPE16" i="7"/>
  <c r="MPG16" i="7"/>
  <c r="MPI16" i="7"/>
  <c r="MPK16" i="7"/>
  <c r="MPM16" i="7"/>
  <c r="MPO16" i="7"/>
  <c r="MPQ16" i="7"/>
  <c r="MPS16" i="7"/>
  <c r="MPU16" i="7"/>
  <c r="MPW16" i="7"/>
  <c r="MPY16" i="7"/>
  <c r="MQA16" i="7"/>
  <c r="MQC16" i="7"/>
  <c r="MQE16" i="7"/>
  <c r="MQG16" i="7"/>
  <c r="MQI16" i="7"/>
  <c r="MQK16" i="7"/>
  <c r="MQM16" i="7"/>
  <c r="MQO16" i="7"/>
  <c r="MQQ16" i="7"/>
  <c r="MQS16" i="7"/>
  <c r="MQU16" i="7"/>
  <c r="MQW16" i="7"/>
  <c r="MQY16" i="7"/>
  <c r="MRA16" i="7"/>
  <c r="MRC16" i="7"/>
  <c r="MRE16" i="7"/>
  <c r="MRG16" i="7"/>
  <c r="MRI16" i="7"/>
  <c r="MRK16" i="7"/>
  <c r="MRM16" i="7"/>
  <c r="MRO16" i="7"/>
  <c r="MRQ16" i="7"/>
  <c r="MRS16" i="7"/>
  <c r="MRU16" i="7"/>
  <c r="MRW16" i="7"/>
  <c r="MRY16" i="7"/>
  <c r="MSA16" i="7"/>
  <c r="MSC16" i="7"/>
  <c r="MSE16" i="7"/>
  <c r="MSG16" i="7"/>
  <c r="MSI16" i="7"/>
  <c r="MSK16" i="7"/>
  <c r="MSM16" i="7"/>
  <c r="MSO16" i="7"/>
  <c r="MSQ16" i="7"/>
  <c r="MSS16" i="7"/>
  <c r="MSU16" i="7"/>
  <c r="MSW16" i="7"/>
  <c r="MSY16" i="7"/>
  <c r="MTA16" i="7"/>
  <c r="MTC16" i="7"/>
  <c r="MTE16" i="7"/>
  <c r="MTG16" i="7"/>
  <c r="MTI16" i="7"/>
  <c r="MTK16" i="7"/>
  <c r="MTM16" i="7"/>
  <c r="MTO16" i="7"/>
  <c r="MTQ16" i="7"/>
  <c r="MTS16" i="7"/>
  <c r="MTU16" i="7"/>
  <c r="MTW16" i="7"/>
  <c r="MTY16" i="7"/>
  <c r="MUA16" i="7"/>
  <c r="MUC16" i="7"/>
  <c r="MUE16" i="7"/>
  <c r="MUG16" i="7"/>
  <c r="MUI16" i="7"/>
  <c r="MUK16" i="7"/>
  <c r="MUM16" i="7"/>
  <c r="MUO16" i="7"/>
  <c r="MUQ16" i="7"/>
  <c r="MUS16" i="7"/>
  <c r="MUU16" i="7"/>
  <c r="MUW16" i="7"/>
  <c r="MUY16" i="7"/>
  <c r="MVA16" i="7"/>
  <c r="MVC16" i="7"/>
  <c r="MVE16" i="7"/>
  <c r="MVG16" i="7"/>
  <c r="MVI16" i="7"/>
  <c r="MVK16" i="7"/>
  <c r="MVM16" i="7"/>
  <c r="MVO16" i="7"/>
  <c r="MVQ16" i="7"/>
  <c r="MVS16" i="7"/>
  <c r="MVU16" i="7"/>
  <c r="MVW16" i="7"/>
  <c r="MVY16" i="7"/>
  <c r="MWA16" i="7"/>
  <c r="MWC16" i="7"/>
  <c r="MWE16" i="7"/>
  <c r="MWG16" i="7"/>
  <c r="MWI16" i="7"/>
  <c r="MWK16" i="7"/>
  <c r="MWM16" i="7"/>
  <c r="MWO16" i="7"/>
  <c r="MWQ16" i="7"/>
  <c r="MWS16" i="7"/>
  <c r="MWU16" i="7"/>
  <c r="MWW16" i="7"/>
  <c r="MWY16" i="7"/>
  <c r="MXA16" i="7"/>
  <c r="MXC16" i="7"/>
  <c r="MXE16" i="7"/>
  <c r="MXG16" i="7"/>
  <c r="MXI16" i="7"/>
  <c r="MXK16" i="7"/>
  <c r="MXM16" i="7"/>
  <c r="MXO16" i="7"/>
  <c r="MXQ16" i="7"/>
  <c r="MXS16" i="7"/>
  <c r="MXU16" i="7"/>
  <c r="MXW16" i="7"/>
  <c r="MXY16" i="7"/>
  <c r="MYA16" i="7"/>
  <c r="MYC16" i="7"/>
  <c r="MYE16" i="7"/>
  <c r="MYG16" i="7"/>
  <c r="MYI16" i="7"/>
  <c r="MYK16" i="7"/>
  <c r="MYM16" i="7"/>
  <c r="MYO16" i="7"/>
  <c r="MYQ16" i="7"/>
  <c r="MYS16" i="7"/>
  <c r="MYU16" i="7"/>
  <c r="MYW16" i="7"/>
  <c r="MYY16" i="7"/>
  <c r="MZA16" i="7"/>
  <c r="MZC16" i="7"/>
  <c r="MZE16" i="7"/>
  <c r="MZG16" i="7"/>
  <c r="MZI16" i="7"/>
  <c r="MZK16" i="7"/>
  <c r="MZM16" i="7"/>
  <c r="MZO16" i="7"/>
  <c r="MZQ16" i="7"/>
  <c r="MZS16" i="7"/>
  <c r="MZU16" i="7"/>
  <c r="MZW16" i="7"/>
  <c r="MZY16" i="7"/>
  <c r="NAA16" i="7"/>
  <c r="NAC16" i="7"/>
  <c r="NAE16" i="7"/>
  <c r="NAG16" i="7"/>
  <c r="NAI16" i="7"/>
  <c r="NAK16" i="7"/>
  <c r="NAM16" i="7"/>
  <c r="NAO16" i="7"/>
  <c r="NAQ16" i="7"/>
  <c r="NAS16" i="7"/>
  <c r="NAU16" i="7"/>
  <c r="NAW16" i="7"/>
  <c r="NAY16" i="7"/>
  <c r="NBA16" i="7"/>
  <c r="NBC16" i="7"/>
  <c r="NBE16" i="7"/>
  <c r="NBG16" i="7"/>
  <c r="NBI16" i="7"/>
  <c r="NBK16" i="7"/>
  <c r="NBM16" i="7"/>
  <c r="NBO16" i="7"/>
  <c r="NBQ16" i="7"/>
  <c r="NBS16" i="7"/>
  <c r="NBU16" i="7"/>
  <c r="NBW16" i="7"/>
  <c r="NBY16" i="7"/>
  <c r="NCA16" i="7"/>
  <c r="NCC16" i="7"/>
  <c r="NCE16" i="7"/>
  <c r="NCG16" i="7"/>
  <c r="NCI16" i="7"/>
  <c r="NCK16" i="7"/>
  <c r="NCM16" i="7"/>
  <c r="NCO16" i="7"/>
  <c r="NCQ16" i="7"/>
  <c r="NCS16" i="7"/>
  <c r="NCU16" i="7"/>
  <c r="NCW16" i="7"/>
  <c r="NCY16" i="7"/>
  <c r="NDA16" i="7"/>
  <c r="NDC16" i="7"/>
  <c r="NDE16" i="7"/>
  <c r="NDG16" i="7"/>
  <c r="NDI16" i="7"/>
  <c r="NDK16" i="7"/>
  <c r="NDM16" i="7"/>
  <c r="NDO16" i="7"/>
  <c r="NDQ16" i="7"/>
  <c r="NDS16" i="7"/>
  <c r="NDU16" i="7"/>
  <c r="NDW16" i="7"/>
  <c r="NDY16" i="7"/>
  <c r="NEA16" i="7"/>
  <c r="NEC16" i="7"/>
  <c r="NEE16" i="7"/>
  <c r="NEG16" i="7"/>
  <c r="NEI16" i="7"/>
  <c r="NEK16" i="7"/>
  <c r="NEM16" i="7"/>
  <c r="NEO16" i="7"/>
  <c r="NEQ16" i="7"/>
  <c r="NES16" i="7"/>
  <c r="NEU16" i="7"/>
  <c r="NEW16" i="7"/>
  <c r="NEY16" i="7"/>
  <c r="NFA16" i="7"/>
  <c r="NFC16" i="7"/>
  <c r="NFE16" i="7"/>
  <c r="NFG16" i="7"/>
  <c r="NFI16" i="7"/>
  <c r="NFK16" i="7"/>
  <c r="NFM16" i="7"/>
  <c r="NFO16" i="7"/>
  <c r="NFQ16" i="7"/>
  <c r="NFS16" i="7"/>
  <c r="NFU16" i="7"/>
  <c r="NFW16" i="7"/>
  <c r="NFY16" i="7"/>
  <c r="NGA16" i="7"/>
  <c r="NGC16" i="7"/>
  <c r="NGE16" i="7"/>
  <c r="NGG16" i="7"/>
  <c r="NGI16" i="7"/>
  <c r="NGK16" i="7"/>
  <c r="NGM16" i="7"/>
  <c r="NGO16" i="7"/>
  <c r="NGQ16" i="7"/>
  <c r="NGS16" i="7"/>
  <c r="NGU16" i="7"/>
  <c r="NGW16" i="7"/>
  <c r="NGY16" i="7"/>
  <c r="NHA16" i="7"/>
  <c r="NHC16" i="7"/>
  <c r="NHE16" i="7"/>
  <c r="NHG16" i="7"/>
  <c r="NHI16" i="7"/>
  <c r="NHK16" i="7"/>
  <c r="NHM16" i="7"/>
  <c r="NHO16" i="7"/>
  <c r="NHQ16" i="7"/>
  <c r="NHS16" i="7"/>
  <c r="NHU16" i="7"/>
  <c r="NHW16" i="7"/>
  <c r="NHY16" i="7"/>
  <c r="NIA16" i="7"/>
  <c r="NIC16" i="7"/>
  <c r="NIE16" i="7"/>
  <c r="NIG16" i="7"/>
  <c r="NII16" i="7"/>
  <c r="NIK16" i="7"/>
  <c r="NIM16" i="7"/>
  <c r="NIO16" i="7"/>
  <c r="NIQ16" i="7"/>
  <c r="NIS16" i="7"/>
  <c r="NIU16" i="7"/>
  <c r="NIW16" i="7"/>
  <c r="NIY16" i="7"/>
  <c r="NJA16" i="7"/>
  <c r="NJC16" i="7"/>
  <c r="NJE16" i="7"/>
  <c r="NJG16" i="7"/>
  <c r="NJI16" i="7"/>
  <c r="NJK16" i="7"/>
  <c r="NJM16" i="7"/>
  <c r="NJO16" i="7"/>
  <c r="NJQ16" i="7"/>
  <c r="NJS16" i="7"/>
  <c r="NJU16" i="7"/>
  <c r="NJW16" i="7"/>
  <c r="NJY16" i="7"/>
  <c r="NKA16" i="7"/>
  <c r="NKC16" i="7"/>
  <c r="NKE16" i="7"/>
  <c r="NKG16" i="7"/>
  <c r="NKI16" i="7"/>
  <c r="NKK16" i="7"/>
  <c r="NKM16" i="7"/>
  <c r="NKO16" i="7"/>
  <c r="NKQ16" i="7"/>
  <c r="NKS16" i="7"/>
  <c r="NKU16" i="7"/>
  <c r="NKW16" i="7"/>
  <c r="NKY16" i="7"/>
  <c r="NLA16" i="7"/>
  <c r="NLC16" i="7"/>
  <c r="NLE16" i="7"/>
  <c r="NLG16" i="7"/>
  <c r="NLI16" i="7"/>
  <c r="NLK16" i="7"/>
  <c r="NLM16" i="7"/>
  <c r="NLO16" i="7"/>
  <c r="NLQ16" i="7"/>
  <c r="NLS16" i="7"/>
  <c r="NLU16" i="7"/>
  <c r="NLW16" i="7"/>
  <c r="NLY16" i="7"/>
  <c r="NMA16" i="7"/>
  <c r="NMC16" i="7"/>
  <c r="NME16" i="7"/>
  <c r="NMG16" i="7"/>
  <c r="NMI16" i="7"/>
  <c r="NMK16" i="7"/>
  <c r="NMM16" i="7"/>
  <c r="NMO16" i="7"/>
  <c r="NMQ16" i="7"/>
  <c r="NMS16" i="7"/>
  <c r="NMU16" i="7"/>
  <c r="NMW16" i="7"/>
  <c r="NMY16" i="7"/>
  <c r="NNA16" i="7"/>
  <c r="NNC16" i="7"/>
  <c r="NNE16" i="7"/>
  <c r="NNG16" i="7"/>
  <c r="NNI16" i="7"/>
  <c r="NNK16" i="7"/>
  <c r="NNM16" i="7"/>
  <c r="NNO16" i="7"/>
  <c r="NNQ16" i="7"/>
  <c r="NNS16" i="7"/>
  <c r="NNU16" i="7"/>
  <c r="NNW16" i="7"/>
  <c r="NNY16" i="7"/>
  <c r="NOA16" i="7"/>
  <c r="NOC16" i="7"/>
  <c r="NOE16" i="7"/>
  <c r="NOG16" i="7"/>
  <c r="NOI16" i="7"/>
  <c r="NOK16" i="7"/>
  <c r="NOM16" i="7"/>
  <c r="NOO16" i="7"/>
  <c r="NOQ16" i="7"/>
  <c r="NOS16" i="7"/>
  <c r="NOU16" i="7"/>
  <c r="NOW16" i="7"/>
  <c r="NOY16" i="7"/>
  <c r="NPA16" i="7"/>
  <c r="NPC16" i="7"/>
  <c r="NPE16" i="7"/>
  <c r="NPG16" i="7"/>
  <c r="NPI16" i="7"/>
  <c r="NPK16" i="7"/>
  <c r="NPM16" i="7"/>
  <c r="NPO16" i="7"/>
  <c r="NPQ16" i="7"/>
  <c r="NPS16" i="7"/>
  <c r="NPU16" i="7"/>
  <c r="NPW16" i="7"/>
  <c r="NPY16" i="7"/>
  <c r="NQA16" i="7"/>
  <c r="NQC16" i="7"/>
  <c r="NQE16" i="7"/>
  <c r="NQG16" i="7"/>
  <c r="NQI16" i="7"/>
  <c r="NQK16" i="7"/>
  <c r="NQM16" i="7"/>
  <c r="NQO16" i="7"/>
  <c r="NQQ16" i="7"/>
  <c r="NQS16" i="7"/>
  <c r="NQU16" i="7"/>
  <c r="NQW16" i="7"/>
  <c r="NQY16" i="7"/>
  <c r="NRA16" i="7"/>
  <c r="NRC16" i="7"/>
  <c r="NRE16" i="7"/>
  <c r="NRG16" i="7"/>
  <c r="NRI16" i="7"/>
  <c r="NRK16" i="7"/>
  <c r="NRM16" i="7"/>
  <c r="NRO16" i="7"/>
  <c r="NRQ16" i="7"/>
  <c r="NRS16" i="7"/>
  <c r="NRU16" i="7"/>
  <c r="NRW16" i="7"/>
  <c r="NRY16" i="7"/>
  <c r="NSA16" i="7"/>
  <c r="NSC16" i="7"/>
  <c r="NSE16" i="7"/>
  <c r="NSG16" i="7"/>
  <c r="NSI16" i="7"/>
  <c r="NSK16" i="7"/>
  <c r="NSM16" i="7"/>
  <c r="NSO16" i="7"/>
  <c r="NSQ16" i="7"/>
  <c r="NSS16" i="7"/>
  <c r="NSU16" i="7"/>
  <c r="NSW16" i="7"/>
  <c r="NSY16" i="7"/>
  <c r="NTA16" i="7"/>
  <c r="NTC16" i="7"/>
  <c r="NTE16" i="7"/>
  <c r="NTG16" i="7"/>
  <c r="NTI16" i="7"/>
  <c r="NTK16" i="7"/>
  <c r="NTM16" i="7"/>
  <c r="NTO16" i="7"/>
  <c r="NTQ16" i="7"/>
  <c r="NTS16" i="7"/>
  <c r="NTU16" i="7"/>
  <c r="NTW16" i="7"/>
  <c r="NTY16" i="7"/>
  <c r="NUA16" i="7"/>
  <c r="NUC16" i="7"/>
  <c r="NUE16" i="7"/>
  <c r="NUG16" i="7"/>
  <c r="NUI16" i="7"/>
  <c r="NUK16" i="7"/>
  <c r="NUM16" i="7"/>
  <c r="NUO16" i="7"/>
  <c r="NUQ16" i="7"/>
  <c r="NUS16" i="7"/>
  <c r="NUU16" i="7"/>
  <c r="NUW16" i="7"/>
  <c r="NUY16" i="7"/>
  <c r="NVA16" i="7"/>
  <c r="NVC16" i="7"/>
  <c r="NVE16" i="7"/>
  <c r="NVG16" i="7"/>
  <c r="NVI16" i="7"/>
  <c r="NVK16" i="7"/>
  <c r="NVM16" i="7"/>
  <c r="NVO16" i="7"/>
  <c r="NVQ16" i="7"/>
  <c r="NVS16" i="7"/>
  <c r="NVU16" i="7"/>
  <c r="NVW16" i="7"/>
  <c r="NVY16" i="7"/>
  <c r="NWA16" i="7"/>
  <c r="NWC16" i="7"/>
  <c r="NWE16" i="7"/>
  <c r="NWG16" i="7"/>
  <c r="NWI16" i="7"/>
  <c r="NWK16" i="7"/>
  <c r="NWM16" i="7"/>
  <c r="NWO16" i="7"/>
  <c r="NWQ16" i="7"/>
  <c r="NWS16" i="7"/>
  <c r="NWU16" i="7"/>
  <c r="NWW16" i="7"/>
  <c r="NWY16" i="7"/>
  <c r="NXA16" i="7"/>
  <c r="NXC16" i="7"/>
  <c r="NXE16" i="7"/>
  <c r="NXG16" i="7"/>
  <c r="NXI16" i="7"/>
  <c r="NXK16" i="7"/>
  <c r="NXM16" i="7"/>
  <c r="NXO16" i="7"/>
  <c r="NXQ16" i="7"/>
  <c r="NXS16" i="7"/>
  <c r="NXU16" i="7"/>
  <c r="NXW16" i="7"/>
  <c r="NXY16" i="7"/>
  <c r="NYA16" i="7"/>
  <c r="NYC16" i="7"/>
  <c r="NYE16" i="7"/>
  <c r="NYG16" i="7"/>
  <c r="NYI16" i="7"/>
  <c r="NYK16" i="7"/>
  <c r="NYM16" i="7"/>
  <c r="NYO16" i="7"/>
  <c r="NYQ16" i="7"/>
  <c r="NYS16" i="7"/>
  <c r="NYU16" i="7"/>
  <c r="NYW16" i="7"/>
  <c r="NYY16" i="7"/>
  <c r="NZA16" i="7"/>
  <c r="NZC16" i="7"/>
  <c r="NZE16" i="7"/>
  <c r="NZG16" i="7"/>
  <c r="NZI16" i="7"/>
  <c r="NZK16" i="7"/>
  <c r="NZM16" i="7"/>
  <c r="NZO16" i="7"/>
  <c r="NZQ16" i="7"/>
  <c r="NZS16" i="7"/>
  <c r="NZU16" i="7"/>
  <c r="NZW16" i="7"/>
  <c r="NZY16" i="7"/>
  <c r="OAA16" i="7"/>
  <c r="OAC16" i="7"/>
  <c r="OAE16" i="7"/>
  <c r="OAG16" i="7"/>
  <c r="OAI16" i="7"/>
  <c r="OAK16" i="7"/>
  <c r="OAM16" i="7"/>
  <c r="OAO16" i="7"/>
  <c r="OAQ16" i="7"/>
  <c r="OAS16" i="7"/>
  <c r="OAU16" i="7"/>
  <c r="OAW16" i="7"/>
  <c r="OAY16" i="7"/>
  <c r="OBA16" i="7"/>
  <c r="OBC16" i="7"/>
  <c r="OBE16" i="7"/>
  <c r="OBG16" i="7"/>
  <c r="OBI16" i="7"/>
  <c r="OBK16" i="7"/>
  <c r="OBM16" i="7"/>
  <c r="OBO16" i="7"/>
  <c r="OBQ16" i="7"/>
  <c r="OBS16" i="7"/>
  <c r="OBU16" i="7"/>
  <c r="OBW16" i="7"/>
  <c r="OBY16" i="7"/>
  <c r="OCA16" i="7"/>
  <c r="OCC16" i="7"/>
  <c r="OCE16" i="7"/>
  <c r="OCG16" i="7"/>
  <c r="OCI16" i="7"/>
  <c r="OCK16" i="7"/>
  <c r="OCM16" i="7"/>
  <c r="OCO16" i="7"/>
  <c r="OCQ16" i="7"/>
  <c r="OCS16" i="7"/>
  <c r="OCU16" i="7"/>
  <c r="OCW16" i="7"/>
  <c r="OCY16" i="7"/>
  <c r="ODA16" i="7"/>
  <c r="ODC16" i="7"/>
  <c r="ODE16" i="7"/>
  <c r="ODG16" i="7"/>
  <c r="ODI16" i="7"/>
  <c r="ODK16" i="7"/>
  <c r="ODM16" i="7"/>
  <c r="ODO16" i="7"/>
  <c r="ODQ16" i="7"/>
  <c r="ODS16" i="7"/>
  <c r="ODU16" i="7"/>
  <c r="ODW16" i="7"/>
  <c r="ODY16" i="7"/>
  <c r="OEA16" i="7"/>
  <c r="OEC16" i="7"/>
  <c r="OEE16" i="7"/>
  <c r="OEG16" i="7"/>
  <c r="OEI16" i="7"/>
  <c r="OEK16" i="7"/>
  <c r="OEM16" i="7"/>
  <c r="OEO16" i="7"/>
  <c r="OEQ16" i="7"/>
  <c r="OES16" i="7"/>
  <c r="OEU16" i="7"/>
  <c r="OEW16" i="7"/>
  <c r="OEY16" i="7"/>
  <c r="OFA16" i="7"/>
  <c r="OFC16" i="7"/>
  <c r="OFE16" i="7"/>
  <c r="OFG16" i="7"/>
  <c r="OFI16" i="7"/>
  <c r="OFK16" i="7"/>
  <c r="OFM16" i="7"/>
  <c r="OFO16" i="7"/>
  <c r="OFQ16" i="7"/>
  <c r="OFS16" i="7"/>
  <c r="OFU16" i="7"/>
  <c r="OFW16" i="7"/>
  <c r="OFY16" i="7"/>
  <c r="OGA16" i="7"/>
  <c r="OGC16" i="7"/>
  <c r="OGE16" i="7"/>
  <c r="OGG16" i="7"/>
  <c r="OGI16" i="7"/>
  <c r="OGK16" i="7"/>
  <c r="OGM16" i="7"/>
  <c r="OGO16" i="7"/>
  <c r="OGQ16" i="7"/>
  <c r="OGS16" i="7"/>
  <c r="OGU16" i="7"/>
  <c r="OGW16" i="7"/>
  <c r="OGY16" i="7"/>
  <c r="OHA16" i="7"/>
  <c r="OHC16" i="7"/>
  <c r="OHE16" i="7"/>
  <c r="OHG16" i="7"/>
  <c r="OHI16" i="7"/>
  <c r="OHK16" i="7"/>
  <c r="OHM16" i="7"/>
  <c r="OHO16" i="7"/>
  <c r="OHQ16" i="7"/>
  <c r="OHS16" i="7"/>
  <c r="OHU16" i="7"/>
  <c r="OHW16" i="7"/>
  <c r="OHY16" i="7"/>
  <c r="OIA16" i="7"/>
  <c r="OIC16" i="7"/>
  <c r="OIE16" i="7"/>
  <c r="OIG16" i="7"/>
  <c r="OII16" i="7"/>
  <c r="OIK16" i="7"/>
  <c r="OIM16" i="7"/>
  <c r="OIO16" i="7"/>
  <c r="OIQ16" i="7"/>
  <c r="OIS16" i="7"/>
  <c r="OIU16" i="7"/>
  <c r="OIW16" i="7"/>
  <c r="OIY16" i="7"/>
  <c r="OJA16" i="7"/>
  <c r="OJC16" i="7"/>
  <c r="OJE16" i="7"/>
  <c r="OJG16" i="7"/>
  <c r="OJI16" i="7"/>
  <c r="OJK16" i="7"/>
  <c r="OJM16" i="7"/>
  <c r="OJO16" i="7"/>
  <c r="OJQ16" i="7"/>
  <c r="OJS16" i="7"/>
  <c r="OJU16" i="7"/>
  <c r="OJW16" i="7"/>
  <c r="OJY16" i="7"/>
  <c r="OKA16" i="7"/>
  <c r="OKC16" i="7"/>
  <c r="OKE16" i="7"/>
  <c r="OKG16" i="7"/>
  <c r="OKI16" i="7"/>
  <c r="OKK16" i="7"/>
  <c r="OKM16" i="7"/>
  <c r="OKO16" i="7"/>
  <c r="OKQ16" i="7"/>
  <c r="OKS16" i="7"/>
  <c r="OKU16" i="7"/>
  <c r="OKW16" i="7"/>
  <c r="OKY16" i="7"/>
  <c r="OLA16" i="7"/>
  <c r="OLC16" i="7"/>
  <c r="OLE16" i="7"/>
  <c r="OLG16" i="7"/>
  <c r="OLI16" i="7"/>
  <c r="OLK16" i="7"/>
  <c r="OLM16" i="7"/>
  <c r="OLO16" i="7"/>
  <c r="OLQ16" i="7"/>
  <c r="OLS16" i="7"/>
  <c r="OLU16" i="7"/>
  <c r="OLW16" i="7"/>
  <c r="OLY16" i="7"/>
  <c r="OMA16" i="7"/>
  <c r="OMC16" i="7"/>
  <c r="OME16" i="7"/>
  <c r="OMG16" i="7"/>
  <c r="OMI16" i="7"/>
  <c r="OMK16" i="7"/>
  <c r="OMM16" i="7"/>
  <c r="OMO16" i="7"/>
  <c r="OMQ16" i="7"/>
  <c r="OMS16" i="7"/>
  <c r="OMU16" i="7"/>
  <c r="OMW16" i="7"/>
  <c r="OMY16" i="7"/>
  <c r="ONA16" i="7"/>
  <c r="ONC16" i="7"/>
  <c r="ONE16" i="7"/>
  <c r="ONG16" i="7"/>
  <c r="ONI16" i="7"/>
  <c r="ONK16" i="7"/>
  <c r="ONM16" i="7"/>
  <c r="ONO16" i="7"/>
  <c r="ONQ16" i="7"/>
  <c r="ONS16" i="7"/>
  <c r="ONU16" i="7"/>
  <c r="ONW16" i="7"/>
  <c r="ONY16" i="7"/>
  <c r="OOA16" i="7"/>
  <c r="OOC16" i="7"/>
  <c r="OOE16" i="7"/>
  <c r="OOG16" i="7"/>
  <c r="OOI16" i="7"/>
  <c r="OOK16" i="7"/>
  <c r="OOM16" i="7"/>
  <c r="OOO16" i="7"/>
  <c r="OOQ16" i="7"/>
  <c r="OOS16" i="7"/>
  <c r="OOU16" i="7"/>
  <c r="OOW16" i="7"/>
  <c r="OOY16" i="7"/>
  <c r="OPA16" i="7"/>
  <c r="OPC16" i="7"/>
  <c r="OPE16" i="7"/>
  <c r="OPG16" i="7"/>
  <c r="OPI16" i="7"/>
  <c r="OPK16" i="7"/>
  <c r="OPM16" i="7"/>
  <c r="OPO16" i="7"/>
  <c r="OPQ16" i="7"/>
  <c r="OPS16" i="7"/>
  <c r="OPU16" i="7"/>
  <c r="OPW16" i="7"/>
  <c r="OPY16" i="7"/>
  <c r="OQA16" i="7"/>
  <c r="OQC16" i="7"/>
  <c r="OQE16" i="7"/>
  <c r="OQG16" i="7"/>
  <c r="OQI16" i="7"/>
  <c r="OQK16" i="7"/>
  <c r="OQM16" i="7"/>
  <c r="OQO16" i="7"/>
  <c r="OQQ16" i="7"/>
  <c r="OQS16" i="7"/>
  <c r="OQU16" i="7"/>
  <c r="OQW16" i="7"/>
  <c r="OQY16" i="7"/>
  <c r="ORA16" i="7"/>
  <c r="ORC16" i="7"/>
  <c r="ORE16" i="7"/>
  <c r="ORG16" i="7"/>
  <c r="ORI16" i="7"/>
  <c r="ORK16" i="7"/>
  <c r="ORM16" i="7"/>
  <c r="ORO16" i="7"/>
  <c r="ORQ16" i="7"/>
  <c r="ORS16" i="7"/>
  <c r="ORU16" i="7"/>
  <c r="ORW16" i="7"/>
  <c r="ORY16" i="7"/>
  <c r="OSA16" i="7"/>
  <c r="OSC16" i="7"/>
  <c r="OSE16" i="7"/>
  <c r="OSG16" i="7"/>
  <c r="OSI16" i="7"/>
  <c r="OSK16" i="7"/>
  <c r="OSM16" i="7"/>
  <c r="OSO16" i="7"/>
  <c r="OSQ16" i="7"/>
  <c r="OSS16" i="7"/>
  <c r="OSU16" i="7"/>
  <c r="OSW16" i="7"/>
  <c r="OSY16" i="7"/>
  <c r="OTA16" i="7"/>
  <c r="OTC16" i="7"/>
  <c r="OTE16" i="7"/>
  <c r="OTG16" i="7"/>
  <c r="OTI16" i="7"/>
  <c r="OTK16" i="7"/>
  <c r="OTM16" i="7"/>
  <c r="OTO16" i="7"/>
  <c r="OTQ16" i="7"/>
  <c r="OTS16" i="7"/>
  <c r="OTU16" i="7"/>
  <c r="OTW16" i="7"/>
  <c r="OTY16" i="7"/>
  <c r="OUA16" i="7"/>
  <c r="OUC16" i="7"/>
  <c r="OUE16" i="7"/>
  <c r="OUG16" i="7"/>
  <c r="OUI16" i="7"/>
  <c r="OUK16" i="7"/>
  <c r="OUM16" i="7"/>
  <c r="OUO16" i="7"/>
  <c r="OUQ16" i="7"/>
  <c r="OUS16" i="7"/>
  <c r="OUU16" i="7"/>
  <c r="OUW16" i="7"/>
  <c r="OUY16" i="7"/>
  <c r="OVA16" i="7"/>
  <c r="OVC16" i="7"/>
  <c r="OVE16" i="7"/>
  <c r="OVG16" i="7"/>
  <c r="OVI16" i="7"/>
  <c r="OVK16" i="7"/>
  <c r="OVM16" i="7"/>
  <c r="OVO16" i="7"/>
  <c r="OVQ16" i="7"/>
  <c r="OVS16" i="7"/>
  <c r="OVU16" i="7"/>
  <c r="OVW16" i="7"/>
  <c r="OVY16" i="7"/>
  <c r="OWA16" i="7"/>
  <c r="OWC16" i="7"/>
  <c r="OWE16" i="7"/>
  <c r="OWG16" i="7"/>
  <c r="OWI16" i="7"/>
  <c r="OWK16" i="7"/>
  <c r="OWM16" i="7"/>
  <c r="OWO16" i="7"/>
  <c r="OWQ16" i="7"/>
  <c r="OWS16" i="7"/>
  <c r="OWU16" i="7"/>
  <c r="OWW16" i="7"/>
  <c r="OWY16" i="7"/>
  <c r="OXA16" i="7"/>
  <c r="OXC16" i="7"/>
  <c r="OXE16" i="7"/>
  <c r="OXG16" i="7"/>
  <c r="OXI16" i="7"/>
  <c r="OXK16" i="7"/>
  <c r="OXM16" i="7"/>
  <c r="OXO16" i="7"/>
  <c r="OXQ16" i="7"/>
  <c r="OXS16" i="7"/>
  <c r="OXU16" i="7"/>
  <c r="OXW16" i="7"/>
  <c r="OXY16" i="7"/>
  <c r="OYA16" i="7"/>
  <c r="OYC16" i="7"/>
  <c r="OYE16" i="7"/>
  <c r="OYG16" i="7"/>
  <c r="OYI16" i="7"/>
  <c r="OYK16" i="7"/>
  <c r="OYM16" i="7"/>
  <c r="OYO16" i="7"/>
  <c r="OYQ16" i="7"/>
  <c r="OYS16" i="7"/>
  <c r="OYU16" i="7"/>
  <c r="OYW16" i="7"/>
  <c r="OYY16" i="7"/>
  <c r="OZA16" i="7"/>
  <c r="OZC16" i="7"/>
  <c r="OZE16" i="7"/>
  <c r="OZG16" i="7"/>
  <c r="OZI16" i="7"/>
  <c r="OZK16" i="7"/>
  <c r="OZM16" i="7"/>
  <c r="OZO16" i="7"/>
  <c r="OZQ16" i="7"/>
  <c r="OZS16" i="7"/>
  <c r="OZU16" i="7"/>
  <c r="OZW16" i="7"/>
  <c r="OZY16" i="7"/>
  <c r="PAA16" i="7"/>
  <c r="PAC16" i="7"/>
  <c r="PAE16" i="7"/>
  <c r="PAG16" i="7"/>
  <c r="PAI16" i="7"/>
  <c r="PAK16" i="7"/>
  <c r="PAM16" i="7"/>
  <c r="PAO16" i="7"/>
  <c r="PAQ16" i="7"/>
  <c r="PAS16" i="7"/>
  <c r="PAU16" i="7"/>
  <c r="PAW16" i="7"/>
  <c r="PAY16" i="7"/>
  <c r="PBA16" i="7"/>
  <c r="PBC16" i="7"/>
  <c r="PBE16" i="7"/>
  <c r="PBG16" i="7"/>
  <c r="PBI16" i="7"/>
  <c r="PBK16" i="7"/>
  <c r="PBM16" i="7"/>
  <c r="PBO16" i="7"/>
  <c r="PBQ16" i="7"/>
  <c r="PBS16" i="7"/>
  <c r="PBU16" i="7"/>
  <c r="PBW16" i="7"/>
  <c r="PBY16" i="7"/>
  <c r="PCA16" i="7"/>
  <c r="PCC16" i="7"/>
  <c r="PCE16" i="7"/>
  <c r="PCG16" i="7"/>
  <c r="PCI16" i="7"/>
  <c r="PCK16" i="7"/>
  <c r="PCM16" i="7"/>
  <c r="PCO16" i="7"/>
  <c r="PCQ16" i="7"/>
  <c r="PCS16" i="7"/>
  <c r="PCU16" i="7"/>
  <c r="PCW16" i="7"/>
  <c r="PCY16" i="7"/>
  <c r="PDA16" i="7"/>
  <c r="PDC16" i="7"/>
  <c r="PDE16" i="7"/>
  <c r="PDG16" i="7"/>
  <c r="PDI16" i="7"/>
  <c r="PDK16" i="7"/>
  <c r="PDM16" i="7"/>
  <c r="PDO16" i="7"/>
  <c r="PDQ16" i="7"/>
  <c r="PDS16" i="7"/>
  <c r="PDU16" i="7"/>
  <c r="PDW16" i="7"/>
  <c r="PDY16" i="7"/>
  <c r="PEA16" i="7"/>
  <c r="PEC16" i="7"/>
  <c r="PEE16" i="7"/>
  <c r="PEG16" i="7"/>
  <c r="PEI16" i="7"/>
  <c r="PEK16" i="7"/>
  <c r="PEM16" i="7"/>
  <c r="PEO16" i="7"/>
  <c r="PEQ16" i="7"/>
  <c r="PES16" i="7"/>
  <c r="PEU16" i="7"/>
  <c r="PEW16" i="7"/>
  <c r="PEY16" i="7"/>
  <c r="PFA16" i="7"/>
  <c r="PFC16" i="7"/>
  <c r="PFE16" i="7"/>
  <c r="PFG16" i="7"/>
  <c r="PFI16" i="7"/>
  <c r="PFK16" i="7"/>
  <c r="PFM16" i="7"/>
  <c r="PFO16" i="7"/>
  <c r="PFQ16" i="7"/>
  <c r="PFS16" i="7"/>
  <c r="PFU16" i="7"/>
  <c r="PFW16" i="7"/>
  <c r="PFY16" i="7"/>
  <c r="PGA16" i="7"/>
  <c r="PGC16" i="7"/>
  <c r="PGE16" i="7"/>
  <c r="PGG16" i="7"/>
  <c r="PGI16" i="7"/>
  <c r="PGK16" i="7"/>
  <c r="PGM16" i="7"/>
  <c r="PGO16" i="7"/>
  <c r="PGQ16" i="7"/>
  <c r="PGS16" i="7"/>
  <c r="PGU16" i="7"/>
  <c r="PGW16" i="7"/>
  <c r="PGY16" i="7"/>
  <c r="PHA16" i="7"/>
  <c r="PHC16" i="7"/>
  <c r="PHE16" i="7"/>
  <c r="PHG16" i="7"/>
  <c r="PHI16" i="7"/>
  <c r="PHK16" i="7"/>
  <c r="PHM16" i="7"/>
  <c r="PHO16" i="7"/>
  <c r="PHQ16" i="7"/>
  <c r="PHS16" i="7"/>
  <c r="PHU16" i="7"/>
  <c r="PHW16" i="7"/>
  <c r="PHY16" i="7"/>
  <c r="PIA16" i="7"/>
  <c r="PIC16" i="7"/>
  <c r="PIE16" i="7"/>
  <c r="PIG16" i="7"/>
  <c r="PII16" i="7"/>
  <c r="PIK16" i="7"/>
  <c r="PIM16" i="7"/>
  <c r="PIO16" i="7"/>
  <c r="PIQ16" i="7"/>
  <c r="PIS16" i="7"/>
  <c r="PIU16" i="7"/>
  <c r="PIW16" i="7"/>
  <c r="PIY16" i="7"/>
  <c r="PJA16" i="7"/>
  <c r="PJC16" i="7"/>
  <c r="PJE16" i="7"/>
  <c r="PJG16" i="7"/>
  <c r="PJI16" i="7"/>
  <c r="PJK16" i="7"/>
  <c r="PJM16" i="7"/>
  <c r="PJO16" i="7"/>
  <c r="PJQ16" i="7"/>
  <c r="PJS16" i="7"/>
  <c r="PJU16" i="7"/>
  <c r="PJW16" i="7"/>
  <c r="PJY16" i="7"/>
  <c r="PKA16" i="7"/>
  <c r="PKC16" i="7"/>
  <c r="PKE16" i="7"/>
  <c r="PKG16" i="7"/>
  <c r="PKI16" i="7"/>
  <c r="PKK16" i="7"/>
  <c r="PKM16" i="7"/>
  <c r="PKO16" i="7"/>
  <c r="PKQ16" i="7"/>
  <c r="PKS16" i="7"/>
  <c r="PKU16" i="7"/>
  <c r="PKW16" i="7"/>
  <c r="PKY16" i="7"/>
  <c r="PLA16" i="7"/>
  <c r="PLC16" i="7"/>
  <c r="PLE16" i="7"/>
  <c r="PLG16" i="7"/>
  <c r="PLI16" i="7"/>
  <c r="PLK16" i="7"/>
  <c r="PLM16" i="7"/>
  <c r="PLO16" i="7"/>
  <c r="PLQ16" i="7"/>
  <c r="PLS16" i="7"/>
  <c r="PLU16" i="7"/>
  <c r="PLW16" i="7"/>
  <c r="PLY16" i="7"/>
  <c r="PMA16" i="7"/>
  <c r="PMC16" i="7"/>
  <c r="PME16" i="7"/>
  <c r="PMG16" i="7"/>
  <c r="PMI16" i="7"/>
  <c r="PMK16" i="7"/>
  <c r="PMM16" i="7"/>
  <c r="PMO16" i="7"/>
  <c r="PMQ16" i="7"/>
  <c r="PMS16" i="7"/>
  <c r="PMU16" i="7"/>
  <c r="PMW16" i="7"/>
  <c r="PMY16" i="7"/>
  <c r="PNA16" i="7"/>
  <c r="PNC16" i="7"/>
  <c r="PNE16" i="7"/>
  <c r="PNG16" i="7"/>
  <c r="PNI16" i="7"/>
  <c r="PNK16" i="7"/>
  <c r="PNM16" i="7"/>
  <c r="PNO16" i="7"/>
  <c r="PNQ16" i="7"/>
  <c r="PNS16" i="7"/>
  <c r="PNU16" i="7"/>
  <c r="PNW16" i="7"/>
  <c r="PNY16" i="7"/>
  <c r="POA16" i="7"/>
  <c r="POC16" i="7"/>
  <c r="POE16" i="7"/>
  <c r="POG16" i="7"/>
  <c r="POI16" i="7"/>
  <c r="POK16" i="7"/>
  <c r="POM16" i="7"/>
  <c r="POO16" i="7"/>
  <c r="POQ16" i="7"/>
  <c r="POS16" i="7"/>
  <c r="POU16" i="7"/>
  <c r="POW16" i="7"/>
  <c r="POY16" i="7"/>
  <c r="PPA16" i="7"/>
  <c r="PPC16" i="7"/>
  <c r="PPE16" i="7"/>
  <c r="PPG16" i="7"/>
  <c r="PPI16" i="7"/>
  <c r="PPK16" i="7"/>
  <c r="PPM16" i="7"/>
  <c r="PPO16" i="7"/>
  <c r="PPQ16" i="7"/>
  <c r="PPS16" i="7"/>
  <c r="PPU16" i="7"/>
  <c r="PPW16" i="7"/>
  <c r="PPY16" i="7"/>
  <c r="PQA16" i="7"/>
  <c r="PQC16" i="7"/>
  <c r="PQE16" i="7"/>
  <c r="PQG16" i="7"/>
  <c r="PQI16" i="7"/>
  <c r="PQK16" i="7"/>
  <c r="PQM16" i="7"/>
  <c r="PQO16" i="7"/>
  <c r="PQQ16" i="7"/>
  <c r="PQS16" i="7"/>
  <c r="PQU16" i="7"/>
  <c r="PQW16" i="7"/>
  <c r="PQY16" i="7"/>
  <c r="PRA16" i="7"/>
  <c r="PRC16" i="7"/>
  <c r="PRE16" i="7"/>
  <c r="PRG16" i="7"/>
  <c r="PRI16" i="7"/>
  <c r="PRK16" i="7"/>
  <c r="PRM16" i="7"/>
  <c r="PRO16" i="7"/>
  <c r="PRQ16" i="7"/>
  <c r="PRS16" i="7"/>
  <c r="PRU16" i="7"/>
  <c r="PRW16" i="7"/>
  <c r="PRY16" i="7"/>
  <c r="PSA16" i="7"/>
  <c r="PSC16" i="7"/>
  <c r="PSE16" i="7"/>
  <c r="PSG16" i="7"/>
  <c r="PSI16" i="7"/>
  <c r="PSK16" i="7"/>
  <c r="PSM16" i="7"/>
  <c r="PSO16" i="7"/>
  <c r="PSQ16" i="7"/>
  <c r="PSS16" i="7"/>
  <c r="PSU16" i="7"/>
  <c r="PSW16" i="7"/>
  <c r="PSY16" i="7"/>
  <c r="PTA16" i="7"/>
  <c r="PTC16" i="7"/>
  <c r="PTE16" i="7"/>
  <c r="PTG16" i="7"/>
  <c r="PTI16" i="7"/>
  <c r="PTK16" i="7"/>
  <c r="PTM16" i="7"/>
  <c r="PTO16" i="7"/>
  <c r="PTQ16" i="7"/>
  <c r="PTS16" i="7"/>
  <c r="PTU16" i="7"/>
  <c r="PTW16" i="7"/>
  <c r="PTY16" i="7"/>
  <c r="PUA16" i="7"/>
  <c r="PUC16" i="7"/>
  <c r="PUE16" i="7"/>
  <c r="PUG16" i="7"/>
  <c r="PUI16" i="7"/>
  <c r="PUK16" i="7"/>
  <c r="PUM16" i="7"/>
  <c r="PUO16" i="7"/>
  <c r="PUQ16" i="7"/>
  <c r="PUS16" i="7"/>
  <c r="PUU16" i="7"/>
  <c r="PUW16" i="7"/>
  <c r="PUY16" i="7"/>
  <c r="PVA16" i="7"/>
  <c r="PVC16" i="7"/>
  <c r="PVE16" i="7"/>
  <c r="PVG16" i="7"/>
  <c r="PVI16" i="7"/>
  <c r="PVK16" i="7"/>
  <c r="PVM16" i="7"/>
  <c r="PVO16" i="7"/>
  <c r="PVQ16" i="7"/>
  <c r="PVS16" i="7"/>
  <c r="PVU16" i="7"/>
  <c r="PVW16" i="7"/>
  <c r="PVY16" i="7"/>
  <c r="PWA16" i="7"/>
  <c r="PWC16" i="7"/>
  <c r="PWE16" i="7"/>
  <c r="PWG16" i="7"/>
  <c r="PWI16" i="7"/>
  <c r="PWK16" i="7"/>
  <c r="PWM16" i="7"/>
  <c r="PWO16" i="7"/>
  <c r="PWQ16" i="7"/>
  <c r="PWS16" i="7"/>
  <c r="PWU16" i="7"/>
  <c r="PWW16" i="7"/>
  <c r="PWY16" i="7"/>
  <c r="PXA16" i="7"/>
  <c r="PXC16" i="7"/>
  <c r="PXE16" i="7"/>
  <c r="PXG16" i="7"/>
  <c r="PXI16" i="7"/>
  <c r="PXK16" i="7"/>
  <c r="PXM16" i="7"/>
  <c r="PXO16" i="7"/>
  <c r="PXQ16" i="7"/>
  <c r="PXS16" i="7"/>
  <c r="PXU16" i="7"/>
  <c r="PXW16" i="7"/>
  <c r="PXY16" i="7"/>
  <c r="PYA16" i="7"/>
  <c r="PYC16" i="7"/>
  <c r="PYE16" i="7"/>
  <c r="PYG16" i="7"/>
  <c r="PYI16" i="7"/>
  <c r="PYK16" i="7"/>
  <c r="PYM16" i="7"/>
  <c r="PYO16" i="7"/>
  <c r="PYQ16" i="7"/>
  <c r="PYS16" i="7"/>
  <c r="PYU16" i="7"/>
  <c r="PYW16" i="7"/>
  <c r="PYY16" i="7"/>
  <c r="PZA16" i="7"/>
  <c r="PZC16" i="7"/>
  <c r="PZE16" i="7"/>
  <c r="PZG16" i="7"/>
  <c r="PZI16" i="7"/>
  <c r="PZK16" i="7"/>
  <c r="PZM16" i="7"/>
  <c r="PZO16" i="7"/>
  <c r="PZQ16" i="7"/>
  <c r="PZS16" i="7"/>
  <c r="PZU16" i="7"/>
  <c r="PZW16" i="7"/>
  <c r="PZY16" i="7"/>
  <c r="QAA16" i="7"/>
  <c r="QAC16" i="7"/>
  <c r="QAE16" i="7"/>
  <c r="QAG16" i="7"/>
  <c r="QAI16" i="7"/>
  <c r="QAK16" i="7"/>
  <c r="QAM16" i="7"/>
  <c r="QAO16" i="7"/>
  <c r="QAQ16" i="7"/>
  <c r="QAS16" i="7"/>
  <c r="QAU16" i="7"/>
  <c r="QAW16" i="7"/>
  <c r="QAY16" i="7"/>
  <c r="QBA16" i="7"/>
  <c r="QBC16" i="7"/>
  <c r="QBE16" i="7"/>
  <c r="QBG16" i="7"/>
  <c r="QBI16" i="7"/>
  <c r="QBK16" i="7"/>
  <c r="QBM16" i="7"/>
  <c r="QBO16" i="7"/>
  <c r="QBQ16" i="7"/>
  <c r="QBS16" i="7"/>
  <c r="QBU16" i="7"/>
  <c r="QBW16" i="7"/>
  <c r="QBY16" i="7"/>
  <c r="QCA16" i="7"/>
  <c r="QCC16" i="7"/>
  <c r="QCE16" i="7"/>
  <c r="QCG16" i="7"/>
  <c r="QCI16" i="7"/>
  <c r="QCK16" i="7"/>
  <c r="QCM16" i="7"/>
  <c r="QCO16" i="7"/>
  <c r="QCQ16" i="7"/>
  <c r="QCS16" i="7"/>
  <c r="QCU16" i="7"/>
  <c r="QCW16" i="7"/>
  <c r="QCY16" i="7"/>
  <c r="QDA16" i="7"/>
  <c r="QDC16" i="7"/>
  <c r="QDE16" i="7"/>
  <c r="QDG16" i="7"/>
  <c r="QDI16" i="7"/>
  <c r="QDK16" i="7"/>
  <c r="QDM16" i="7"/>
  <c r="QDO16" i="7"/>
  <c r="QDQ16" i="7"/>
  <c r="QDS16" i="7"/>
  <c r="QDU16" i="7"/>
  <c r="QDW16" i="7"/>
  <c r="QDY16" i="7"/>
  <c r="QEA16" i="7"/>
  <c r="QEC16" i="7"/>
  <c r="QEE16" i="7"/>
  <c r="QEG16" i="7"/>
  <c r="QEI16" i="7"/>
  <c r="QEK16" i="7"/>
  <c r="QEM16" i="7"/>
  <c r="QEO16" i="7"/>
  <c r="QEQ16" i="7"/>
  <c r="QES16" i="7"/>
  <c r="QEU16" i="7"/>
  <c r="QEW16" i="7"/>
  <c r="QEY16" i="7"/>
  <c r="QFA16" i="7"/>
  <c r="QFC16" i="7"/>
  <c r="QFE16" i="7"/>
  <c r="QFG16" i="7"/>
  <c r="QFI16" i="7"/>
  <c r="QFK16" i="7"/>
  <c r="QFM16" i="7"/>
  <c r="QFO16" i="7"/>
  <c r="QFQ16" i="7"/>
  <c r="QFS16" i="7"/>
  <c r="QFU16" i="7"/>
  <c r="QFW16" i="7"/>
  <c r="QFY16" i="7"/>
  <c r="QGA16" i="7"/>
  <c r="QGC16" i="7"/>
  <c r="QGE16" i="7"/>
  <c r="QGG16" i="7"/>
  <c r="QGI16" i="7"/>
  <c r="QGK16" i="7"/>
  <c r="QGM16" i="7"/>
  <c r="QGO16" i="7"/>
  <c r="QGQ16" i="7"/>
  <c r="QGS16" i="7"/>
  <c r="QGU16" i="7"/>
  <c r="QGW16" i="7"/>
  <c r="QGY16" i="7"/>
  <c r="QHA16" i="7"/>
  <c r="QHC16" i="7"/>
  <c r="QHE16" i="7"/>
  <c r="QHG16" i="7"/>
  <c r="QHI16" i="7"/>
  <c r="QHK16" i="7"/>
  <c r="QHM16" i="7"/>
  <c r="QHO16" i="7"/>
  <c r="QHQ16" i="7"/>
  <c r="QHS16" i="7"/>
  <c r="QHU16" i="7"/>
  <c r="QHW16" i="7"/>
  <c r="QHY16" i="7"/>
  <c r="QIA16" i="7"/>
  <c r="QIC16" i="7"/>
  <c r="QIE16" i="7"/>
  <c r="QIG16" i="7"/>
  <c r="QII16" i="7"/>
  <c r="QIK16" i="7"/>
  <c r="QIM16" i="7"/>
  <c r="QIO16" i="7"/>
  <c r="QIQ16" i="7"/>
  <c r="QIS16" i="7"/>
  <c r="QIU16" i="7"/>
  <c r="QIW16" i="7"/>
  <c r="QIY16" i="7"/>
  <c r="QJA16" i="7"/>
  <c r="QJC16" i="7"/>
  <c r="QJE16" i="7"/>
  <c r="QJG16" i="7"/>
  <c r="QJI16" i="7"/>
  <c r="QJK16" i="7"/>
  <c r="QJM16" i="7"/>
  <c r="QJO16" i="7"/>
  <c r="QJQ16" i="7"/>
  <c r="QJS16" i="7"/>
  <c r="QJU16" i="7"/>
  <c r="QJW16" i="7"/>
  <c r="QJY16" i="7"/>
  <c r="QKA16" i="7"/>
  <c r="QKC16" i="7"/>
  <c r="QKE16" i="7"/>
  <c r="QKG16" i="7"/>
  <c r="QKI16" i="7"/>
  <c r="QKK16" i="7"/>
  <c r="QKM16" i="7"/>
  <c r="QKO16" i="7"/>
  <c r="QKQ16" i="7"/>
  <c r="QKS16" i="7"/>
  <c r="QKU16" i="7"/>
  <c r="QKW16" i="7"/>
  <c r="QKY16" i="7"/>
  <c r="QLA16" i="7"/>
  <c r="QLC16" i="7"/>
  <c r="QLE16" i="7"/>
  <c r="QLG16" i="7"/>
  <c r="QLI16" i="7"/>
  <c r="QLK16" i="7"/>
  <c r="QLM16" i="7"/>
  <c r="QLO16" i="7"/>
  <c r="QLQ16" i="7"/>
  <c r="QLS16" i="7"/>
  <c r="QLU16" i="7"/>
  <c r="QLW16" i="7"/>
  <c r="QLY16" i="7"/>
  <c r="QMA16" i="7"/>
  <c r="QMC16" i="7"/>
  <c r="QME16" i="7"/>
  <c r="QMG16" i="7"/>
  <c r="QMI16" i="7"/>
  <c r="QMK16" i="7"/>
  <c r="QMM16" i="7"/>
  <c r="QMO16" i="7"/>
  <c r="QMQ16" i="7"/>
  <c r="QMS16" i="7"/>
  <c r="QMU16" i="7"/>
  <c r="QMW16" i="7"/>
  <c r="QMY16" i="7"/>
  <c r="QNA16" i="7"/>
  <c r="QNC16" i="7"/>
  <c r="QNE16" i="7"/>
  <c r="QNG16" i="7"/>
  <c r="QNI16" i="7"/>
  <c r="QNK16" i="7"/>
  <c r="QNM16" i="7"/>
  <c r="QNO16" i="7"/>
  <c r="QNQ16" i="7"/>
  <c r="QNS16" i="7"/>
  <c r="QNU16" i="7"/>
  <c r="QNW16" i="7"/>
  <c r="QNY16" i="7"/>
  <c r="QOA16" i="7"/>
  <c r="QOC16" i="7"/>
  <c r="QOE16" i="7"/>
  <c r="QOG16" i="7"/>
  <c r="QOI16" i="7"/>
  <c r="QOK16" i="7"/>
  <c r="QOM16" i="7"/>
  <c r="QOO16" i="7"/>
  <c r="QOQ16" i="7"/>
  <c r="QOS16" i="7"/>
  <c r="QOU16" i="7"/>
  <c r="QOW16" i="7"/>
  <c r="QOY16" i="7"/>
  <c r="QPA16" i="7"/>
  <c r="QPC16" i="7"/>
  <c r="QPE16" i="7"/>
  <c r="QPG16" i="7"/>
  <c r="QPI16" i="7"/>
  <c r="QPK16" i="7"/>
  <c r="QPM16" i="7"/>
  <c r="QPO16" i="7"/>
  <c r="QPQ16" i="7"/>
  <c r="QPS16" i="7"/>
  <c r="QPU16" i="7"/>
  <c r="QPW16" i="7"/>
  <c r="QPY16" i="7"/>
  <c r="QQA16" i="7"/>
  <c r="QQC16" i="7"/>
  <c r="QQE16" i="7"/>
  <c r="QQG16" i="7"/>
  <c r="QQI16" i="7"/>
  <c r="QQK16" i="7"/>
  <c r="QQM16" i="7"/>
  <c r="QQO16" i="7"/>
  <c r="QQQ16" i="7"/>
  <c r="QQS16" i="7"/>
  <c r="QQU16" i="7"/>
  <c r="QQW16" i="7"/>
  <c r="QQY16" i="7"/>
  <c r="QRA16" i="7"/>
  <c r="QRC16" i="7"/>
  <c r="QRE16" i="7"/>
  <c r="QRG16" i="7"/>
  <c r="QRI16" i="7"/>
  <c r="QRK16" i="7"/>
  <c r="QRM16" i="7"/>
  <c r="QRO16" i="7"/>
  <c r="QRQ16" i="7"/>
  <c r="QRS16" i="7"/>
  <c r="QRU16" i="7"/>
  <c r="QRW16" i="7"/>
  <c r="QRY16" i="7"/>
  <c r="QSA16" i="7"/>
  <c r="QSC16" i="7"/>
  <c r="QSE16" i="7"/>
  <c r="QSG16" i="7"/>
  <c r="QSI16" i="7"/>
  <c r="QSK16" i="7"/>
  <c r="QSM16" i="7"/>
  <c r="QSO16" i="7"/>
  <c r="QSQ16" i="7"/>
  <c r="QSS16" i="7"/>
  <c r="QSU16" i="7"/>
  <c r="QSW16" i="7"/>
  <c r="QSY16" i="7"/>
  <c r="QTA16" i="7"/>
  <c r="QTC16" i="7"/>
  <c r="QTE16" i="7"/>
  <c r="QTG16" i="7"/>
  <c r="QTI16" i="7"/>
  <c r="QTK16" i="7"/>
  <c r="QTM16" i="7"/>
  <c r="QTO16" i="7"/>
  <c r="QTQ16" i="7"/>
  <c r="QTS16" i="7"/>
  <c r="QTU16" i="7"/>
  <c r="QTW16" i="7"/>
  <c r="QTY16" i="7"/>
  <c r="QUA16" i="7"/>
  <c r="QUC16" i="7"/>
  <c r="QUE16" i="7"/>
  <c r="QUG16" i="7"/>
  <c r="QUI16" i="7"/>
  <c r="QUK16" i="7"/>
  <c r="QUM16" i="7"/>
  <c r="QUO16" i="7"/>
  <c r="QUQ16" i="7"/>
  <c r="QUS16" i="7"/>
  <c r="QUU16" i="7"/>
  <c r="QUW16" i="7"/>
  <c r="QUY16" i="7"/>
  <c r="QVA16" i="7"/>
  <c r="QVC16" i="7"/>
  <c r="QVE16" i="7"/>
  <c r="QVG16" i="7"/>
  <c r="QVI16" i="7"/>
  <c r="QVK16" i="7"/>
  <c r="QVM16" i="7"/>
  <c r="QVO16" i="7"/>
  <c r="QVQ16" i="7"/>
  <c r="QVS16" i="7"/>
  <c r="QVU16" i="7"/>
  <c r="QVW16" i="7"/>
  <c r="QVY16" i="7"/>
  <c r="QWA16" i="7"/>
  <c r="QWC16" i="7"/>
  <c r="QWE16" i="7"/>
  <c r="QWG16" i="7"/>
  <c r="QWI16" i="7"/>
  <c r="QWK16" i="7"/>
  <c r="QWM16" i="7"/>
  <c r="QWO16" i="7"/>
  <c r="QWQ16" i="7"/>
  <c r="QWS16" i="7"/>
  <c r="QWU16" i="7"/>
  <c r="QWW16" i="7"/>
  <c r="QWY16" i="7"/>
  <c r="QXA16" i="7"/>
  <c r="QXC16" i="7"/>
  <c r="QXE16" i="7"/>
  <c r="QXG16" i="7"/>
  <c r="QXI16" i="7"/>
  <c r="QXK16" i="7"/>
  <c r="QXM16" i="7"/>
  <c r="QXO16" i="7"/>
  <c r="QXQ16" i="7"/>
  <c r="QXS16" i="7"/>
  <c r="QXU16" i="7"/>
  <c r="QXW16" i="7"/>
  <c r="QXY16" i="7"/>
  <c r="QYA16" i="7"/>
  <c r="QYC16" i="7"/>
  <c r="QYE16" i="7"/>
  <c r="QYG16" i="7"/>
  <c r="QYI16" i="7"/>
  <c r="QYK16" i="7"/>
  <c r="QYM16" i="7"/>
  <c r="QYO16" i="7"/>
  <c r="QYQ16" i="7"/>
  <c r="QYS16" i="7"/>
  <c r="QYU16" i="7"/>
  <c r="QYW16" i="7"/>
  <c r="QYY16" i="7"/>
  <c r="QZA16" i="7"/>
  <c r="QZC16" i="7"/>
  <c r="QZE16" i="7"/>
  <c r="QZG16" i="7"/>
  <c r="QZI16" i="7"/>
  <c r="QZK16" i="7"/>
  <c r="QZM16" i="7"/>
  <c r="QZO16" i="7"/>
  <c r="QZQ16" i="7"/>
  <c r="QZS16" i="7"/>
  <c r="QZU16" i="7"/>
  <c r="QZW16" i="7"/>
  <c r="QZY16" i="7"/>
  <c r="RAA16" i="7"/>
  <c r="RAC16" i="7"/>
  <c r="RAE16" i="7"/>
  <c r="RAG16" i="7"/>
  <c r="RAI16" i="7"/>
  <c r="RAK16" i="7"/>
  <c r="RAM16" i="7"/>
  <c r="RAO16" i="7"/>
  <c r="RAQ16" i="7"/>
  <c r="RAS16" i="7"/>
  <c r="RAU16" i="7"/>
  <c r="RAW16" i="7"/>
  <c r="RAY16" i="7"/>
  <c r="RBA16" i="7"/>
  <c r="RBC16" i="7"/>
  <c r="RBE16" i="7"/>
  <c r="RBG16" i="7"/>
  <c r="RBI16" i="7"/>
  <c r="RBK16" i="7"/>
  <c r="RBM16" i="7"/>
  <c r="RBO16" i="7"/>
  <c r="RBQ16" i="7"/>
  <c r="RBS16" i="7"/>
  <c r="RBU16" i="7"/>
  <c r="RBW16" i="7"/>
  <c r="RBY16" i="7"/>
  <c r="RCA16" i="7"/>
  <c r="RCC16" i="7"/>
  <c r="RCE16" i="7"/>
  <c r="RCG16" i="7"/>
  <c r="RCI16" i="7"/>
  <c r="RCK16" i="7"/>
  <c r="RCM16" i="7"/>
  <c r="RCO16" i="7"/>
  <c r="RCQ16" i="7"/>
  <c r="RCS16" i="7"/>
  <c r="RCU16" i="7"/>
  <c r="RCW16" i="7"/>
  <c r="RCY16" i="7"/>
  <c r="RDA16" i="7"/>
  <c r="RDC16" i="7"/>
  <c r="RDE16" i="7"/>
  <c r="RDG16" i="7"/>
  <c r="RDI16" i="7"/>
  <c r="RDK16" i="7"/>
  <c r="RDM16" i="7"/>
  <c r="RDO16" i="7"/>
  <c r="RDQ16" i="7"/>
  <c r="RDS16" i="7"/>
  <c r="RDU16" i="7"/>
  <c r="RDW16" i="7"/>
  <c r="RDY16" i="7"/>
  <c r="REA16" i="7"/>
  <c r="REC16" i="7"/>
  <c r="REE16" i="7"/>
  <c r="REG16" i="7"/>
  <c r="REI16" i="7"/>
  <c r="REK16" i="7"/>
  <c r="REM16" i="7"/>
  <c r="REO16" i="7"/>
  <c r="REQ16" i="7"/>
  <c r="RES16" i="7"/>
  <c r="REU16" i="7"/>
  <c r="REW16" i="7"/>
  <c r="REY16" i="7"/>
  <c r="RFA16" i="7"/>
  <c r="RFC16" i="7"/>
  <c r="RFE16" i="7"/>
  <c r="RFG16" i="7"/>
  <c r="RFI16" i="7"/>
  <c r="RFK16" i="7"/>
  <c r="RFM16" i="7"/>
  <c r="RFO16" i="7"/>
  <c r="RFQ16" i="7"/>
  <c r="RFS16" i="7"/>
  <c r="RFU16" i="7"/>
  <c r="RFW16" i="7"/>
  <c r="RFY16" i="7"/>
  <c r="RGA16" i="7"/>
  <c r="RGC16" i="7"/>
  <c r="RGE16" i="7"/>
  <c r="RGG16" i="7"/>
  <c r="RGI16" i="7"/>
  <c r="RGK16" i="7"/>
  <c r="RGM16" i="7"/>
  <c r="RGO16" i="7"/>
  <c r="RGQ16" i="7"/>
  <c r="RGS16" i="7"/>
  <c r="RGU16" i="7"/>
  <c r="RGW16" i="7"/>
  <c r="RGY16" i="7"/>
  <c r="RHA16" i="7"/>
  <c r="RHC16" i="7"/>
  <c r="RHE16" i="7"/>
  <c r="RHG16" i="7"/>
  <c r="RHI16" i="7"/>
  <c r="RHK16" i="7"/>
  <c r="RHM16" i="7"/>
  <c r="RHO16" i="7"/>
  <c r="RHQ16" i="7"/>
  <c r="RHS16" i="7"/>
  <c r="RHU16" i="7"/>
  <c r="RHW16" i="7"/>
  <c r="RHY16" i="7"/>
  <c r="RIA16" i="7"/>
  <c r="RIC16" i="7"/>
  <c r="RIE16" i="7"/>
  <c r="RIG16" i="7"/>
  <c r="RII16" i="7"/>
  <c r="RIK16" i="7"/>
  <c r="RIM16" i="7"/>
  <c r="RIO16" i="7"/>
  <c r="RIQ16" i="7"/>
  <c r="RIS16" i="7"/>
  <c r="RIU16" i="7"/>
  <c r="RIW16" i="7"/>
  <c r="RIY16" i="7"/>
  <c r="RJA16" i="7"/>
  <c r="RJC16" i="7"/>
  <c r="RJE16" i="7"/>
  <c r="RJG16" i="7"/>
  <c r="RJI16" i="7"/>
  <c r="RJK16" i="7"/>
  <c r="RJM16" i="7"/>
  <c r="RJO16" i="7"/>
  <c r="RJQ16" i="7"/>
  <c r="RJS16" i="7"/>
  <c r="RJU16" i="7"/>
  <c r="RJW16" i="7"/>
  <c r="RJY16" i="7"/>
  <c r="RKA16" i="7"/>
  <c r="RKC16" i="7"/>
  <c r="RKE16" i="7"/>
  <c r="RKG16" i="7"/>
  <c r="RKI16" i="7"/>
  <c r="RKK16" i="7"/>
  <c r="RKM16" i="7"/>
  <c r="RKO16" i="7"/>
  <c r="RKQ16" i="7"/>
  <c r="RKS16" i="7"/>
  <c r="RKU16" i="7"/>
  <c r="RKW16" i="7"/>
  <c r="RKY16" i="7"/>
  <c r="RLA16" i="7"/>
  <c r="RLC16" i="7"/>
  <c r="RLE16" i="7"/>
  <c r="RLG16" i="7"/>
  <c r="RLI16" i="7"/>
  <c r="RLK16" i="7"/>
  <c r="RLM16" i="7"/>
  <c r="RLO16" i="7"/>
  <c r="RLQ16" i="7"/>
  <c r="RLS16" i="7"/>
  <c r="RLU16" i="7"/>
  <c r="RLW16" i="7"/>
  <c r="RLY16" i="7"/>
  <c r="RMA16" i="7"/>
  <c r="RMC16" i="7"/>
  <c r="RME16" i="7"/>
  <c r="RMG16" i="7"/>
  <c r="RMI16" i="7"/>
  <c r="RMK16" i="7"/>
  <c r="RMM16" i="7"/>
  <c r="RMO16" i="7"/>
  <c r="RMQ16" i="7"/>
  <c r="RMS16" i="7"/>
  <c r="RMU16" i="7"/>
  <c r="RMW16" i="7"/>
  <c r="RMY16" i="7"/>
  <c r="RNA16" i="7"/>
  <c r="RNC16" i="7"/>
  <c r="RNE16" i="7"/>
  <c r="RNG16" i="7"/>
  <c r="RNI16" i="7"/>
  <c r="RNK16" i="7"/>
  <c r="RNM16" i="7"/>
  <c r="RNO16" i="7"/>
  <c r="RNQ16" i="7"/>
  <c r="RNS16" i="7"/>
  <c r="RNU16" i="7"/>
  <c r="RNW16" i="7"/>
  <c r="RNY16" i="7"/>
  <c r="ROA16" i="7"/>
  <c r="ROC16" i="7"/>
  <c r="ROE16" i="7"/>
  <c r="ROG16" i="7"/>
  <c r="ROI16" i="7"/>
  <c r="ROK16" i="7"/>
  <c r="ROM16" i="7"/>
  <c r="ROO16" i="7"/>
  <c r="ROQ16" i="7"/>
  <c r="ROS16" i="7"/>
  <c r="ROU16" i="7"/>
  <c r="ROW16" i="7"/>
  <c r="ROY16" i="7"/>
  <c r="RPA16" i="7"/>
  <c r="RPC16" i="7"/>
  <c r="RPE16" i="7"/>
  <c r="RPG16" i="7"/>
  <c r="RPI16" i="7"/>
  <c r="RPK16" i="7"/>
  <c r="RPM16" i="7"/>
  <c r="RPO16" i="7"/>
  <c r="RPQ16" i="7"/>
  <c r="RPS16" i="7"/>
  <c r="RPU16" i="7"/>
  <c r="RPW16" i="7"/>
  <c r="RPY16" i="7"/>
  <c r="RQA16" i="7"/>
  <c r="RQC16" i="7"/>
  <c r="RQE16" i="7"/>
  <c r="RQG16" i="7"/>
  <c r="RQI16" i="7"/>
  <c r="RQK16" i="7"/>
  <c r="RQM16" i="7"/>
  <c r="RQO16" i="7"/>
  <c r="RQQ16" i="7"/>
  <c r="RQS16" i="7"/>
  <c r="RQU16" i="7"/>
  <c r="RQW16" i="7"/>
  <c r="RQY16" i="7"/>
  <c r="RRA16" i="7"/>
  <c r="RRC16" i="7"/>
  <c r="RRE16" i="7"/>
  <c r="RRG16" i="7"/>
  <c r="RRI16" i="7"/>
  <c r="RRK16" i="7"/>
  <c r="RRM16" i="7"/>
  <c r="RRO16" i="7"/>
  <c r="RRQ16" i="7"/>
  <c r="RRS16" i="7"/>
  <c r="RRU16" i="7"/>
  <c r="RRW16" i="7"/>
  <c r="RRY16" i="7"/>
  <c r="RSA16" i="7"/>
  <c r="RSC16" i="7"/>
  <c r="RSE16" i="7"/>
  <c r="RSG16" i="7"/>
  <c r="RSI16" i="7"/>
  <c r="RSK16" i="7"/>
  <c r="RSM16" i="7"/>
  <c r="RSO16" i="7"/>
  <c r="RSQ16" i="7"/>
  <c r="RSS16" i="7"/>
  <c r="RSU16" i="7"/>
  <c r="RSW16" i="7"/>
  <c r="RSY16" i="7"/>
  <c r="RTA16" i="7"/>
  <c r="RTC16" i="7"/>
  <c r="RTE16" i="7"/>
  <c r="RTG16" i="7"/>
  <c r="RTI16" i="7"/>
  <c r="RTK16" i="7"/>
  <c r="RTM16" i="7"/>
  <c r="RTO16" i="7"/>
  <c r="RTQ16" i="7"/>
  <c r="RTS16" i="7"/>
  <c r="RTU16" i="7"/>
  <c r="RTW16" i="7"/>
  <c r="RTY16" i="7"/>
  <c r="RUA16" i="7"/>
  <c r="RUC16" i="7"/>
  <c r="RUE16" i="7"/>
  <c r="RUG16" i="7"/>
  <c r="RUI16" i="7"/>
  <c r="RUK16" i="7"/>
  <c r="RUM16" i="7"/>
  <c r="RUO16" i="7"/>
  <c r="RUQ16" i="7"/>
  <c r="RUS16" i="7"/>
  <c r="RUU16" i="7"/>
  <c r="RUW16" i="7"/>
  <c r="RUY16" i="7"/>
  <c r="RVA16" i="7"/>
  <c r="RVC16" i="7"/>
  <c r="RVE16" i="7"/>
  <c r="RVG16" i="7"/>
  <c r="RVI16" i="7"/>
  <c r="RVK16" i="7"/>
  <c r="RVM16" i="7"/>
  <c r="RVO16" i="7"/>
  <c r="RVQ16" i="7"/>
  <c r="RVS16" i="7"/>
  <c r="RVU16" i="7"/>
  <c r="RVW16" i="7"/>
  <c r="RVY16" i="7"/>
  <c r="RWA16" i="7"/>
  <c r="RWC16" i="7"/>
  <c r="RWE16" i="7"/>
  <c r="RWG16" i="7"/>
  <c r="RWI16" i="7"/>
  <c r="RWK16" i="7"/>
  <c r="RWM16" i="7"/>
  <c r="RWO16" i="7"/>
  <c r="RWQ16" i="7"/>
  <c r="RWS16" i="7"/>
  <c r="RWU16" i="7"/>
  <c r="RWW16" i="7"/>
  <c r="RWY16" i="7"/>
  <c r="RXA16" i="7"/>
  <c r="RXC16" i="7"/>
  <c r="RXE16" i="7"/>
  <c r="RXG16" i="7"/>
  <c r="RXI16" i="7"/>
  <c r="RXK16" i="7"/>
  <c r="RXM16" i="7"/>
  <c r="RXO16" i="7"/>
  <c r="RXQ16" i="7"/>
  <c r="RXS16" i="7"/>
  <c r="RXU16" i="7"/>
  <c r="RXW16" i="7"/>
  <c r="RXY16" i="7"/>
  <c r="RYA16" i="7"/>
  <c r="RYC16" i="7"/>
  <c r="RYE16" i="7"/>
  <c r="RYG16" i="7"/>
  <c r="RYI16" i="7"/>
  <c r="RYK16" i="7"/>
  <c r="RYM16" i="7"/>
  <c r="RYO16" i="7"/>
  <c r="RYQ16" i="7"/>
  <c r="RYS16" i="7"/>
  <c r="RYU16" i="7"/>
  <c r="RYW16" i="7"/>
  <c r="RYY16" i="7"/>
  <c r="RZA16" i="7"/>
  <c r="RZC16" i="7"/>
  <c r="RZE16" i="7"/>
  <c r="RZG16" i="7"/>
  <c r="RZI16" i="7"/>
  <c r="RZK16" i="7"/>
  <c r="RZM16" i="7"/>
  <c r="RZO16" i="7"/>
  <c r="RZQ16" i="7"/>
  <c r="RZS16" i="7"/>
  <c r="RZU16" i="7"/>
  <c r="RZW16" i="7"/>
  <c r="RZY16" i="7"/>
  <c r="SAA16" i="7"/>
  <c r="SAC16" i="7"/>
  <c r="SAE16" i="7"/>
  <c r="SAG16" i="7"/>
  <c r="SAI16" i="7"/>
  <c r="SAK16" i="7"/>
  <c r="SAM16" i="7"/>
  <c r="SAO16" i="7"/>
  <c r="SAQ16" i="7"/>
  <c r="SAS16" i="7"/>
  <c r="SAU16" i="7"/>
  <c r="SAW16" i="7"/>
  <c r="SAY16" i="7"/>
  <c r="SBA16" i="7"/>
  <c r="SBC16" i="7"/>
  <c r="SBE16" i="7"/>
  <c r="SBG16" i="7"/>
  <c r="SBI16" i="7"/>
  <c r="SBK16" i="7"/>
  <c r="SBM16" i="7"/>
  <c r="SBO16" i="7"/>
  <c r="SBQ16" i="7"/>
  <c r="SBS16" i="7"/>
  <c r="SBU16" i="7"/>
  <c r="SBW16" i="7"/>
  <c r="SBY16" i="7"/>
  <c r="SCA16" i="7"/>
  <c r="SCC16" i="7"/>
  <c r="SCE16" i="7"/>
  <c r="SCG16" i="7"/>
  <c r="SCI16" i="7"/>
  <c r="SCK16" i="7"/>
  <c r="SCM16" i="7"/>
  <c r="SCO16" i="7"/>
  <c r="SCQ16" i="7"/>
  <c r="SCS16" i="7"/>
  <c r="SCU16" i="7"/>
  <c r="SCW16" i="7"/>
  <c r="SCY16" i="7"/>
  <c r="SDA16" i="7"/>
  <c r="SDC16" i="7"/>
  <c r="SDE16" i="7"/>
  <c r="SDG16" i="7"/>
  <c r="SDI16" i="7"/>
  <c r="SDK16" i="7"/>
  <c r="SDM16" i="7"/>
  <c r="SDO16" i="7"/>
  <c r="SDQ16" i="7"/>
  <c r="SDS16" i="7"/>
  <c r="SDU16" i="7"/>
  <c r="SDW16" i="7"/>
  <c r="SDY16" i="7"/>
  <c r="SEA16" i="7"/>
  <c r="SEC16" i="7"/>
  <c r="SEE16" i="7"/>
  <c r="SEG16" i="7"/>
  <c r="SEI16" i="7"/>
  <c r="SEK16" i="7"/>
  <c r="SEM16" i="7"/>
  <c r="SEO16" i="7"/>
  <c r="SEQ16" i="7"/>
  <c r="SES16" i="7"/>
  <c r="SEU16" i="7"/>
  <c r="SEW16" i="7"/>
  <c r="SEY16" i="7"/>
  <c r="SFA16" i="7"/>
  <c r="SFC16" i="7"/>
  <c r="SFE16" i="7"/>
  <c r="SFG16" i="7"/>
  <c r="SFI16" i="7"/>
  <c r="SFK16" i="7"/>
  <c r="SFM16" i="7"/>
  <c r="SFO16" i="7"/>
  <c r="SFQ16" i="7"/>
  <c r="SFS16" i="7"/>
  <c r="SFU16" i="7"/>
  <c r="SFW16" i="7"/>
  <c r="SFY16" i="7"/>
  <c r="SGA16" i="7"/>
  <c r="SGC16" i="7"/>
  <c r="SGE16" i="7"/>
  <c r="SGG16" i="7"/>
  <c r="SGI16" i="7"/>
  <c r="SGK16" i="7"/>
  <c r="SGM16" i="7"/>
  <c r="SGO16" i="7"/>
  <c r="SGQ16" i="7"/>
  <c r="SGS16" i="7"/>
  <c r="SGU16" i="7"/>
  <c r="SGW16" i="7"/>
  <c r="SGY16" i="7"/>
  <c r="SHA16" i="7"/>
  <c r="SHC16" i="7"/>
  <c r="SHE16" i="7"/>
  <c r="SHG16" i="7"/>
  <c r="SHI16" i="7"/>
  <c r="SHK16" i="7"/>
  <c r="SHM16" i="7"/>
  <c r="SHO16" i="7"/>
  <c r="SHQ16" i="7"/>
  <c r="SHS16" i="7"/>
  <c r="SHU16" i="7"/>
  <c r="SHW16" i="7"/>
  <c r="SHY16" i="7"/>
  <c r="SIA16" i="7"/>
  <c r="SIC16" i="7"/>
  <c r="SIE16" i="7"/>
  <c r="SIG16" i="7"/>
  <c r="SII16" i="7"/>
  <c r="SIK16" i="7"/>
  <c r="SIM16" i="7"/>
  <c r="SIO16" i="7"/>
  <c r="SIQ16" i="7"/>
  <c r="SIS16" i="7"/>
  <c r="SIU16" i="7"/>
  <c r="SIW16" i="7"/>
  <c r="SIY16" i="7"/>
  <c r="SJA16" i="7"/>
  <c r="SJC16" i="7"/>
  <c r="SJE16" i="7"/>
  <c r="SJG16" i="7"/>
  <c r="SJI16" i="7"/>
  <c r="SJK16" i="7"/>
  <c r="SJM16" i="7"/>
  <c r="SJO16" i="7"/>
  <c r="SJQ16" i="7"/>
  <c r="SJS16" i="7"/>
  <c r="SJU16" i="7"/>
  <c r="SJW16" i="7"/>
  <c r="SJY16" i="7"/>
  <c r="SKA16" i="7"/>
  <c r="SKC16" i="7"/>
  <c r="SKE16" i="7"/>
  <c r="SKG16" i="7"/>
  <c r="SKI16" i="7"/>
  <c r="SKK16" i="7"/>
  <c r="SKM16" i="7"/>
  <c r="SKO16" i="7"/>
  <c r="SKQ16" i="7"/>
  <c r="SKS16" i="7"/>
  <c r="SKU16" i="7"/>
  <c r="SKW16" i="7"/>
  <c r="SKY16" i="7"/>
  <c r="SLA16" i="7"/>
  <c r="SLC16" i="7"/>
  <c r="SLE16" i="7"/>
  <c r="SLG16" i="7"/>
  <c r="SLI16" i="7"/>
  <c r="SLK16" i="7"/>
  <c r="SLM16" i="7"/>
  <c r="SLO16" i="7"/>
  <c r="SLQ16" i="7"/>
  <c r="SLS16" i="7"/>
  <c r="SLU16" i="7"/>
  <c r="SLW16" i="7"/>
  <c r="SLY16" i="7"/>
  <c r="SMA16" i="7"/>
  <c r="SMC16" i="7"/>
  <c r="SME16" i="7"/>
  <c r="SMG16" i="7"/>
  <c r="SMI16" i="7"/>
  <c r="SMK16" i="7"/>
  <c r="SMM16" i="7"/>
  <c r="SMO16" i="7"/>
  <c r="SMQ16" i="7"/>
  <c r="SMS16" i="7"/>
  <c r="SMU16" i="7"/>
  <c r="SMW16" i="7"/>
  <c r="SMY16" i="7"/>
  <c r="SNA16" i="7"/>
  <c r="SNC16" i="7"/>
  <c r="SNE16" i="7"/>
  <c r="SNG16" i="7"/>
  <c r="SNI16" i="7"/>
  <c r="SNK16" i="7"/>
  <c r="SNM16" i="7"/>
  <c r="SNO16" i="7"/>
  <c r="SNQ16" i="7"/>
  <c r="SNS16" i="7"/>
  <c r="SNU16" i="7"/>
  <c r="SNW16" i="7"/>
  <c r="SNY16" i="7"/>
  <c r="SOA16" i="7"/>
  <c r="SOC16" i="7"/>
  <c r="SOE16" i="7"/>
  <c r="SOG16" i="7"/>
  <c r="SOI16" i="7"/>
  <c r="SOK16" i="7"/>
  <c r="SOM16" i="7"/>
  <c r="SOO16" i="7"/>
  <c r="SOQ16" i="7"/>
  <c r="SOS16" i="7"/>
  <c r="SOU16" i="7"/>
  <c r="SOW16" i="7"/>
  <c r="SOY16" i="7"/>
  <c r="SPA16" i="7"/>
  <c r="SPC16" i="7"/>
  <c r="SPE16" i="7"/>
  <c r="SPG16" i="7"/>
  <c r="SPI16" i="7"/>
  <c r="SPK16" i="7"/>
  <c r="SPM16" i="7"/>
  <c r="SPO16" i="7"/>
  <c r="SPQ16" i="7"/>
  <c r="SPS16" i="7"/>
  <c r="SPU16" i="7"/>
  <c r="SPW16" i="7"/>
  <c r="SPY16" i="7"/>
  <c r="SQA16" i="7"/>
  <c r="SQC16" i="7"/>
  <c r="SQE16" i="7"/>
  <c r="SQG16" i="7"/>
  <c r="SQI16" i="7"/>
  <c r="SQK16" i="7"/>
  <c r="SQM16" i="7"/>
  <c r="SQO16" i="7"/>
  <c r="SQQ16" i="7"/>
  <c r="SQS16" i="7"/>
  <c r="SQU16" i="7"/>
  <c r="SQW16" i="7"/>
  <c r="SQY16" i="7"/>
  <c r="SRA16" i="7"/>
  <c r="SRC16" i="7"/>
  <c r="SRE16" i="7"/>
  <c r="SRG16" i="7"/>
  <c r="SRI16" i="7"/>
  <c r="SRK16" i="7"/>
  <c r="SRM16" i="7"/>
  <c r="SRO16" i="7"/>
  <c r="SRQ16" i="7"/>
  <c r="SRS16" i="7"/>
  <c r="SRU16" i="7"/>
  <c r="SRW16" i="7"/>
  <c r="SRY16" i="7"/>
  <c r="SSA16" i="7"/>
  <c r="SSC16" i="7"/>
  <c r="SSE16" i="7"/>
  <c r="SSG16" i="7"/>
  <c r="SSI16" i="7"/>
  <c r="SSK16" i="7"/>
  <c r="SSM16" i="7"/>
  <c r="SSO16" i="7"/>
  <c r="SSQ16" i="7"/>
  <c r="SSS16" i="7"/>
  <c r="SSU16" i="7"/>
  <c r="SSW16" i="7"/>
  <c r="SSY16" i="7"/>
  <c r="STA16" i="7"/>
  <c r="STC16" i="7"/>
  <c r="STE16" i="7"/>
  <c r="STG16" i="7"/>
  <c r="STI16" i="7"/>
  <c r="STK16" i="7"/>
  <c r="STM16" i="7"/>
  <c r="STO16" i="7"/>
  <c r="STQ16" i="7"/>
  <c r="STS16" i="7"/>
  <c r="STU16" i="7"/>
  <c r="STW16" i="7"/>
  <c r="STY16" i="7"/>
  <c r="SUA16" i="7"/>
  <c r="SUC16" i="7"/>
  <c r="SUE16" i="7"/>
  <c r="SUG16" i="7"/>
  <c r="SUI16" i="7"/>
  <c r="SUK16" i="7"/>
  <c r="SUM16" i="7"/>
  <c r="SUO16" i="7"/>
  <c r="SUQ16" i="7"/>
  <c r="SUS16" i="7"/>
  <c r="SUU16" i="7"/>
  <c r="SUW16" i="7"/>
  <c r="SUY16" i="7"/>
  <c r="SVA16" i="7"/>
  <c r="SVC16" i="7"/>
  <c r="SVE16" i="7"/>
  <c r="SVG16" i="7"/>
  <c r="SVI16" i="7"/>
  <c r="SVK16" i="7"/>
  <c r="SVM16" i="7"/>
  <c r="SVO16" i="7"/>
  <c r="SVQ16" i="7"/>
  <c r="SVS16" i="7"/>
  <c r="SVU16" i="7"/>
  <c r="SVW16" i="7"/>
  <c r="SVY16" i="7"/>
  <c r="SWA16" i="7"/>
  <c r="SWC16" i="7"/>
  <c r="SWE16" i="7"/>
  <c r="SWG16" i="7"/>
  <c r="SWI16" i="7"/>
  <c r="SWK16" i="7"/>
  <c r="SWM16" i="7"/>
  <c r="SWO16" i="7"/>
  <c r="SWQ16" i="7"/>
  <c r="SWS16" i="7"/>
  <c r="SWU16" i="7"/>
  <c r="SWW16" i="7"/>
  <c r="SWY16" i="7"/>
  <c r="SXA16" i="7"/>
  <c r="SXC16" i="7"/>
  <c r="SXE16" i="7"/>
  <c r="SXG16" i="7"/>
  <c r="SXI16" i="7"/>
  <c r="SXK16" i="7"/>
  <c r="SXM16" i="7"/>
  <c r="SXO16" i="7"/>
  <c r="SXQ16" i="7"/>
  <c r="SXS16" i="7"/>
  <c r="SXU16" i="7"/>
  <c r="SXW16" i="7"/>
  <c r="SXY16" i="7"/>
  <c r="SYA16" i="7"/>
  <c r="SYC16" i="7"/>
  <c r="SYE16" i="7"/>
  <c r="SYG16" i="7"/>
  <c r="SYI16" i="7"/>
  <c r="SYK16" i="7"/>
  <c r="SYM16" i="7"/>
  <c r="SYO16" i="7"/>
  <c r="SYQ16" i="7"/>
  <c r="SYS16" i="7"/>
  <c r="SYU16" i="7"/>
  <c r="SYW16" i="7"/>
  <c r="SYY16" i="7"/>
  <c r="SZA16" i="7"/>
  <c r="SZC16" i="7"/>
  <c r="SZE16" i="7"/>
  <c r="SZG16" i="7"/>
  <c r="SZI16" i="7"/>
  <c r="SZK16" i="7"/>
  <c r="SZM16" i="7"/>
  <c r="SZO16" i="7"/>
  <c r="SZQ16" i="7"/>
  <c r="SZS16" i="7"/>
  <c r="SZU16" i="7"/>
  <c r="SZW16" i="7"/>
  <c r="SZY16" i="7"/>
  <c r="TAA16" i="7"/>
  <c r="TAC16" i="7"/>
  <c r="TAE16" i="7"/>
  <c r="TAG16" i="7"/>
  <c r="TAI16" i="7"/>
  <c r="TAK16" i="7"/>
  <c r="TAM16" i="7"/>
  <c r="TAO16" i="7"/>
  <c r="TAQ16" i="7"/>
  <c r="TAS16" i="7"/>
  <c r="TAU16" i="7"/>
  <c r="TAW16" i="7"/>
  <c r="TAY16" i="7"/>
  <c r="TBA16" i="7"/>
  <c r="TBC16" i="7"/>
  <c r="TBE16" i="7"/>
  <c r="TBG16" i="7"/>
  <c r="TBI16" i="7"/>
  <c r="TBK16" i="7"/>
  <c r="TBM16" i="7"/>
  <c r="TBO16" i="7"/>
  <c r="TBQ16" i="7"/>
  <c r="TBS16" i="7"/>
  <c r="TBU16" i="7"/>
  <c r="TBW16" i="7"/>
  <c r="TBY16" i="7"/>
  <c r="TCA16" i="7"/>
  <c r="TCC16" i="7"/>
  <c r="TCE16" i="7"/>
  <c r="TCG16" i="7"/>
  <c r="TCI16" i="7"/>
  <c r="TCK16" i="7"/>
  <c r="TCM16" i="7"/>
  <c r="TCO16" i="7"/>
  <c r="TCQ16" i="7"/>
  <c r="TCS16" i="7"/>
  <c r="TCU16" i="7"/>
  <c r="TCW16" i="7"/>
  <c r="TCY16" i="7"/>
  <c r="TDA16" i="7"/>
  <c r="TDC16" i="7"/>
  <c r="TDE16" i="7"/>
  <c r="TDG16" i="7"/>
  <c r="TDI16" i="7"/>
  <c r="TDK16" i="7"/>
  <c r="TDM16" i="7"/>
  <c r="TDO16" i="7"/>
  <c r="TDQ16" i="7"/>
  <c r="TDS16" i="7"/>
  <c r="TDU16" i="7"/>
  <c r="TDW16" i="7"/>
  <c r="TDY16" i="7"/>
  <c r="TEA16" i="7"/>
  <c r="TEC16" i="7"/>
  <c r="TEE16" i="7"/>
  <c r="TEG16" i="7"/>
  <c r="TEI16" i="7"/>
  <c r="TEK16" i="7"/>
  <c r="TEM16" i="7"/>
  <c r="TEO16" i="7"/>
  <c r="TEQ16" i="7"/>
  <c r="TES16" i="7"/>
  <c r="TEU16" i="7"/>
  <c r="TEW16" i="7"/>
  <c r="TEY16" i="7"/>
  <c r="TFA16" i="7"/>
  <c r="TFC16" i="7"/>
  <c r="TFE16" i="7"/>
  <c r="TFG16" i="7"/>
  <c r="TFI16" i="7"/>
  <c r="TFK16" i="7"/>
  <c r="TFM16" i="7"/>
  <c r="TFO16" i="7"/>
  <c r="TFQ16" i="7"/>
  <c r="TFS16" i="7"/>
  <c r="TFU16" i="7"/>
  <c r="TFW16" i="7"/>
  <c r="TFY16" i="7"/>
  <c r="TGA16" i="7"/>
  <c r="TGC16" i="7"/>
  <c r="TGE16" i="7"/>
  <c r="TGG16" i="7"/>
  <c r="TGI16" i="7"/>
  <c r="TGK16" i="7"/>
  <c r="TGM16" i="7"/>
  <c r="TGO16" i="7"/>
  <c r="TGQ16" i="7"/>
  <c r="TGS16" i="7"/>
  <c r="TGU16" i="7"/>
  <c r="TGW16" i="7"/>
  <c r="TGY16" i="7"/>
  <c r="THA16" i="7"/>
  <c r="THC16" i="7"/>
  <c r="THE16" i="7"/>
  <c r="THG16" i="7"/>
  <c r="THI16" i="7"/>
  <c r="THK16" i="7"/>
  <c r="THM16" i="7"/>
  <c r="THO16" i="7"/>
  <c r="THQ16" i="7"/>
  <c r="THS16" i="7"/>
  <c r="THU16" i="7"/>
  <c r="THW16" i="7"/>
  <c r="THY16" i="7"/>
  <c r="TIA16" i="7"/>
  <c r="TIC16" i="7"/>
  <c r="TIE16" i="7"/>
  <c r="TIG16" i="7"/>
  <c r="TII16" i="7"/>
  <c r="TIK16" i="7"/>
  <c r="TIM16" i="7"/>
  <c r="TIO16" i="7"/>
  <c r="TIQ16" i="7"/>
  <c r="TIS16" i="7"/>
  <c r="TIU16" i="7"/>
  <c r="TIW16" i="7"/>
  <c r="TIY16" i="7"/>
  <c r="TJA16" i="7"/>
  <c r="TJC16" i="7"/>
  <c r="TJE16" i="7"/>
  <c r="TJG16" i="7"/>
  <c r="TJI16" i="7"/>
  <c r="TJK16" i="7"/>
  <c r="TJM16" i="7"/>
  <c r="TJO16" i="7"/>
  <c r="TJQ16" i="7"/>
  <c r="TJS16" i="7"/>
  <c r="TJU16" i="7"/>
  <c r="TJW16" i="7"/>
  <c r="TJY16" i="7"/>
  <c r="TKA16" i="7"/>
  <c r="TKC16" i="7"/>
  <c r="TKE16" i="7"/>
  <c r="TKG16" i="7"/>
  <c r="TKI16" i="7"/>
  <c r="TKK16" i="7"/>
  <c r="TKM16" i="7"/>
  <c r="TKO16" i="7"/>
  <c r="TKQ16" i="7"/>
  <c r="TKS16" i="7"/>
  <c r="TKU16" i="7"/>
  <c r="TKW16" i="7"/>
  <c r="TKY16" i="7"/>
  <c r="TLA16" i="7"/>
  <c r="TLC16" i="7"/>
  <c r="TLE16" i="7"/>
  <c r="TLG16" i="7"/>
  <c r="TLI16" i="7"/>
  <c r="TLK16" i="7"/>
  <c r="TLM16" i="7"/>
  <c r="TLO16" i="7"/>
  <c r="TLQ16" i="7"/>
  <c r="TLS16" i="7"/>
  <c r="TLU16" i="7"/>
  <c r="TLW16" i="7"/>
  <c r="TLY16" i="7"/>
  <c r="TMA16" i="7"/>
  <c r="TMC16" i="7"/>
  <c r="TME16" i="7"/>
  <c r="TMG16" i="7"/>
  <c r="TMI16" i="7"/>
  <c r="TMK16" i="7"/>
  <c r="TMM16" i="7"/>
  <c r="TMO16" i="7"/>
  <c r="TMQ16" i="7"/>
  <c r="TMS16" i="7"/>
  <c r="TMU16" i="7"/>
  <c r="TMW16" i="7"/>
  <c r="TMY16" i="7"/>
  <c r="TNA16" i="7"/>
  <c r="TNC16" i="7"/>
  <c r="TNE16" i="7"/>
  <c r="TNG16" i="7"/>
  <c r="TNI16" i="7"/>
  <c r="TNK16" i="7"/>
  <c r="TNM16" i="7"/>
  <c r="TNO16" i="7"/>
  <c r="TNQ16" i="7"/>
  <c r="TNS16" i="7"/>
  <c r="TNU16" i="7"/>
  <c r="TNW16" i="7"/>
  <c r="TNY16" i="7"/>
  <c r="TOA16" i="7"/>
  <c r="TOC16" i="7"/>
  <c r="TOE16" i="7"/>
  <c r="TOG16" i="7"/>
  <c r="TOI16" i="7"/>
  <c r="TOK16" i="7"/>
  <c r="TOM16" i="7"/>
  <c r="TOO16" i="7"/>
  <c r="TOQ16" i="7"/>
  <c r="TOS16" i="7"/>
  <c r="TOU16" i="7"/>
  <c r="TOW16" i="7"/>
  <c r="TOY16" i="7"/>
  <c r="TPA16" i="7"/>
  <c r="TPC16" i="7"/>
  <c r="TPE16" i="7"/>
  <c r="TPG16" i="7"/>
  <c r="TPI16" i="7"/>
  <c r="TPK16" i="7"/>
  <c r="TPM16" i="7"/>
  <c r="TPO16" i="7"/>
  <c r="TPQ16" i="7"/>
  <c r="TPS16" i="7"/>
  <c r="TPU16" i="7"/>
  <c r="TPW16" i="7"/>
  <c r="TPY16" i="7"/>
  <c r="TQA16" i="7"/>
  <c r="TQC16" i="7"/>
  <c r="TQE16" i="7"/>
  <c r="TQG16" i="7"/>
  <c r="TQI16" i="7"/>
  <c r="TQK16" i="7"/>
  <c r="TQM16" i="7"/>
  <c r="TQO16" i="7"/>
  <c r="TQQ16" i="7"/>
  <c r="TQS16" i="7"/>
  <c r="TQU16" i="7"/>
  <c r="TQW16" i="7"/>
  <c r="TQY16" i="7"/>
  <c r="TRA16" i="7"/>
  <c r="TRC16" i="7"/>
  <c r="TRE16" i="7"/>
  <c r="TRG16" i="7"/>
  <c r="TRI16" i="7"/>
  <c r="TRK16" i="7"/>
  <c r="TRM16" i="7"/>
  <c r="TRO16" i="7"/>
  <c r="TRQ16" i="7"/>
  <c r="TRS16" i="7"/>
  <c r="TRU16" i="7"/>
  <c r="TRW16" i="7"/>
  <c r="TRY16" i="7"/>
  <c r="TSA16" i="7"/>
  <c r="TSC16" i="7"/>
  <c r="TSE16" i="7"/>
  <c r="TSG16" i="7"/>
  <c r="TSI16" i="7"/>
  <c r="TSK16" i="7"/>
  <c r="TSM16" i="7"/>
  <c r="TSO16" i="7"/>
  <c r="TSQ16" i="7"/>
  <c r="TSS16" i="7"/>
  <c r="TSU16" i="7"/>
  <c r="TSW16" i="7"/>
  <c r="TSY16" i="7"/>
  <c r="TTA16" i="7"/>
  <c r="TTC16" i="7"/>
  <c r="TTE16" i="7"/>
  <c r="TTG16" i="7"/>
  <c r="TTI16" i="7"/>
  <c r="TTK16" i="7"/>
  <c r="TTM16" i="7"/>
  <c r="TTO16" i="7"/>
  <c r="TTQ16" i="7"/>
  <c r="TTS16" i="7"/>
  <c r="TTU16" i="7"/>
  <c r="TTW16" i="7"/>
  <c r="TTY16" i="7"/>
  <c r="TUA16" i="7"/>
  <c r="TUC16" i="7"/>
  <c r="TUE16" i="7"/>
  <c r="TUG16" i="7"/>
  <c r="TUI16" i="7"/>
  <c r="TUK16" i="7"/>
  <c r="TUM16" i="7"/>
  <c r="TUO16" i="7"/>
  <c r="TUQ16" i="7"/>
  <c r="TUS16" i="7"/>
  <c r="TUU16" i="7"/>
  <c r="TUW16" i="7"/>
  <c r="TUY16" i="7"/>
  <c r="TVA16" i="7"/>
  <c r="TVC16" i="7"/>
  <c r="TVE16" i="7"/>
  <c r="TVG16" i="7"/>
  <c r="TVI16" i="7"/>
  <c r="TVK16" i="7"/>
  <c r="TVM16" i="7"/>
  <c r="TVO16" i="7"/>
  <c r="TVQ16" i="7"/>
  <c r="TVS16" i="7"/>
  <c r="TVU16" i="7"/>
  <c r="TVW16" i="7"/>
  <c r="TVY16" i="7"/>
  <c r="TWA16" i="7"/>
  <c r="TWC16" i="7"/>
  <c r="TWE16" i="7"/>
  <c r="TWG16" i="7"/>
  <c r="TWI16" i="7"/>
  <c r="TWK16" i="7"/>
  <c r="TWM16" i="7"/>
  <c r="TWO16" i="7"/>
  <c r="TWQ16" i="7"/>
  <c r="TWS16" i="7"/>
  <c r="TWU16" i="7"/>
  <c r="TWW16" i="7"/>
  <c r="TWY16" i="7"/>
  <c r="TXA16" i="7"/>
  <c r="TXC16" i="7"/>
  <c r="TXE16" i="7"/>
  <c r="TXG16" i="7"/>
  <c r="TXI16" i="7"/>
  <c r="TXK16" i="7"/>
  <c r="TXM16" i="7"/>
  <c r="TXO16" i="7"/>
  <c r="TXQ16" i="7"/>
  <c r="TXS16" i="7"/>
  <c r="TXU16" i="7"/>
  <c r="TXW16" i="7"/>
  <c r="TXY16" i="7"/>
  <c r="TYA16" i="7"/>
  <c r="TYC16" i="7"/>
  <c r="TYE16" i="7"/>
  <c r="TYG16" i="7"/>
  <c r="TYI16" i="7"/>
  <c r="TYK16" i="7"/>
  <c r="TYM16" i="7"/>
  <c r="TYO16" i="7"/>
  <c r="TYQ16" i="7"/>
  <c r="TYS16" i="7"/>
  <c r="TYU16" i="7"/>
  <c r="TYW16" i="7"/>
  <c r="TYY16" i="7"/>
  <c r="TZA16" i="7"/>
  <c r="TZC16" i="7"/>
  <c r="TZE16" i="7"/>
  <c r="TZG16" i="7"/>
  <c r="TZI16" i="7"/>
  <c r="TZK16" i="7"/>
  <c r="TZM16" i="7"/>
  <c r="TZO16" i="7"/>
  <c r="TZQ16" i="7"/>
  <c r="TZS16" i="7"/>
  <c r="TZU16" i="7"/>
  <c r="TZW16" i="7"/>
  <c r="TZY16" i="7"/>
  <c r="UAA16" i="7"/>
  <c r="UAC16" i="7"/>
  <c r="UAE16" i="7"/>
  <c r="UAG16" i="7"/>
  <c r="UAI16" i="7"/>
  <c r="UAK16" i="7"/>
  <c r="UAM16" i="7"/>
  <c r="UAO16" i="7"/>
  <c r="UAQ16" i="7"/>
  <c r="UAS16" i="7"/>
  <c r="UAU16" i="7"/>
  <c r="UAW16" i="7"/>
  <c r="UAY16" i="7"/>
  <c r="UBA16" i="7"/>
  <c r="UBC16" i="7"/>
  <c r="UBE16" i="7"/>
  <c r="UBG16" i="7"/>
  <c r="UBI16" i="7"/>
  <c r="UBK16" i="7"/>
  <c r="UBM16" i="7"/>
  <c r="UBO16" i="7"/>
  <c r="UBQ16" i="7"/>
  <c r="UBS16" i="7"/>
  <c r="UBU16" i="7"/>
  <c r="UBW16" i="7"/>
  <c r="UBY16" i="7"/>
  <c r="UCA16" i="7"/>
  <c r="UCC16" i="7"/>
  <c r="UCE16" i="7"/>
  <c r="UCG16" i="7"/>
  <c r="UCI16" i="7"/>
  <c r="UCK16" i="7"/>
  <c r="UCM16" i="7"/>
  <c r="UCO16" i="7"/>
  <c r="UCQ16" i="7"/>
  <c r="UCS16" i="7"/>
  <c r="UCU16" i="7"/>
  <c r="UCW16" i="7"/>
  <c r="UCY16" i="7"/>
  <c r="UDA16" i="7"/>
  <c r="UDC16" i="7"/>
  <c r="UDE16" i="7"/>
  <c r="UDG16" i="7"/>
  <c r="UDI16" i="7"/>
  <c r="UDK16" i="7"/>
  <c r="UDM16" i="7"/>
  <c r="UDO16" i="7"/>
  <c r="UDQ16" i="7"/>
  <c r="UDS16" i="7"/>
  <c r="UDU16" i="7"/>
  <c r="UDW16" i="7"/>
  <c r="UDY16" i="7"/>
  <c r="UEA16" i="7"/>
  <c r="UEC16" i="7"/>
  <c r="UEE16" i="7"/>
  <c r="UEG16" i="7"/>
  <c r="UEI16" i="7"/>
  <c r="UEK16" i="7"/>
  <c r="UEM16" i="7"/>
  <c r="UEO16" i="7"/>
  <c r="UEQ16" i="7"/>
  <c r="UES16" i="7"/>
  <c r="UEU16" i="7"/>
  <c r="UEW16" i="7"/>
  <c r="UEY16" i="7"/>
  <c r="UFA16" i="7"/>
  <c r="UFC16" i="7"/>
  <c r="UFE16" i="7"/>
  <c r="UFG16" i="7"/>
  <c r="UFI16" i="7"/>
  <c r="UFK16" i="7"/>
  <c r="UFM16" i="7"/>
  <c r="UFO16" i="7"/>
  <c r="UFQ16" i="7"/>
  <c r="UFS16" i="7"/>
  <c r="UFU16" i="7"/>
  <c r="UFW16" i="7"/>
  <c r="UFY16" i="7"/>
  <c r="UGA16" i="7"/>
  <c r="UGC16" i="7"/>
  <c r="UGE16" i="7"/>
  <c r="UGG16" i="7"/>
  <c r="UGI16" i="7"/>
  <c r="UGK16" i="7"/>
  <c r="UGM16" i="7"/>
  <c r="UGO16" i="7"/>
  <c r="UGQ16" i="7"/>
  <c r="UGS16" i="7"/>
  <c r="UGU16" i="7"/>
  <c r="UGW16" i="7"/>
  <c r="UGY16" i="7"/>
  <c r="UHA16" i="7"/>
  <c r="UHC16" i="7"/>
  <c r="UHE16" i="7"/>
  <c r="UHG16" i="7"/>
  <c r="UHI16" i="7"/>
  <c r="UHK16" i="7"/>
  <c r="UHM16" i="7"/>
  <c r="UHO16" i="7"/>
  <c r="UHQ16" i="7"/>
  <c r="UHS16" i="7"/>
  <c r="UHU16" i="7"/>
  <c r="UHW16" i="7"/>
  <c r="UHY16" i="7"/>
  <c r="UIA16" i="7"/>
  <c r="UIC16" i="7"/>
  <c r="UIE16" i="7"/>
  <c r="UIG16" i="7"/>
  <c r="UII16" i="7"/>
  <c r="UIK16" i="7"/>
  <c r="UIM16" i="7"/>
  <c r="UIO16" i="7"/>
  <c r="UIQ16" i="7"/>
  <c r="UIS16" i="7"/>
  <c r="UIU16" i="7"/>
  <c r="UIW16" i="7"/>
  <c r="UIY16" i="7"/>
  <c r="UJA16" i="7"/>
  <c r="UJC16" i="7"/>
  <c r="UJE16" i="7"/>
  <c r="UJG16" i="7"/>
  <c r="UJI16" i="7"/>
  <c r="UJK16" i="7"/>
  <c r="UJM16" i="7"/>
  <c r="UJO16" i="7"/>
  <c r="UJQ16" i="7"/>
  <c r="UJS16" i="7"/>
  <c r="UJU16" i="7"/>
  <c r="UJW16" i="7"/>
  <c r="UJY16" i="7"/>
  <c r="UKA16" i="7"/>
  <c r="UKC16" i="7"/>
  <c r="UKE16" i="7"/>
  <c r="UKG16" i="7"/>
  <c r="UKI16" i="7"/>
  <c r="UKK16" i="7"/>
  <c r="UKM16" i="7"/>
  <c r="UKO16" i="7"/>
  <c r="UKQ16" i="7"/>
  <c r="UKS16" i="7"/>
  <c r="UKU16" i="7"/>
  <c r="UKW16" i="7"/>
  <c r="UKY16" i="7"/>
  <c r="ULA16" i="7"/>
  <c r="ULC16" i="7"/>
  <c r="ULE16" i="7"/>
  <c r="ULG16" i="7"/>
  <c r="ULI16" i="7"/>
  <c r="ULK16" i="7"/>
  <c r="ULM16" i="7"/>
  <c r="ULO16" i="7"/>
  <c r="ULQ16" i="7"/>
  <c r="ULS16" i="7"/>
  <c r="ULU16" i="7"/>
  <c r="ULW16" i="7"/>
  <c r="ULY16" i="7"/>
  <c r="UMA16" i="7"/>
  <c r="UMC16" i="7"/>
  <c r="UME16" i="7"/>
  <c r="UMG16" i="7"/>
  <c r="UMI16" i="7"/>
  <c r="UMK16" i="7"/>
  <c r="UMM16" i="7"/>
  <c r="UMO16" i="7"/>
  <c r="UMQ16" i="7"/>
  <c r="UMS16" i="7"/>
  <c r="UMU16" i="7"/>
  <c r="UMW16" i="7"/>
  <c r="UMY16" i="7"/>
  <c r="UNA16" i="7"/>
  <c r="UNC16" i="7"/>
  <c r="UNE16" i="7"/>
  <c r="UNG16" i="7"/>
  <c r="UNI16" i="7"/>
  <c r="UNK16" i="7"/>
  <c r="UNM16" i="7"/>
  <c r="UNO16" i="7"/>
  <c r="UNQ16" i="7"/>
  <c r="UNS16" i="7"/>
  <c r="UNU16" i="7"/>
  <c r="UNW16" i="7"/>
  <c r="UNY16" i="7"/>
  <c r="UOA16" i="7"/>
  <c r="UOC16" i="7"/>
  <c r="UOE16" i="7"/>
  <c r="UOG16" i="7"/>
  <c r="UOI16" i="7"/>
  <c r="UOK16" i="7"/>
  <c r="UOM16" i="7"/>
  <c r="UOO16" i="7"/>
  <c r="UOQ16" i="7"/>
  <c r="UOS16" i="7"/>
  <c r="UOU16" i="7"/>
  <c r="UOW16" i="7"/>
  <c r="UOY16" i="7"/>
  <c r="UPA16" i="7"/>
  <c r="UPC16" i="7"/>
  <c r="UPE16" i="7"/>
  <c r="UPG16" i="7"/>
  <c r="UPI16" i="7"/>
  <c r="UPK16" i="7"/>
  <c r="UPM16" i="7"/>
  <c r="UPO16" i="7"/>
  <c r="UPQ16" i="7"/>
  <c r="UPS16" i="7"/>
  <c r="UPU16" i="7"/>
  <c r="UPW16" i="7"/>
  <c r="UPY16" i="7"/>
  <c r="UQA16" i="7"/>
  <c r="UQC16" i="7"/>
  <c r="UQE16" i="7"/>
  <c r="UQG16" i="7"/>
  <c r="UQI16" i="7"/>
  <c r="UQK16" i="7"/>
  <c r="UQM16" i="7"/>
  <c r="UQO16" i="7"/>
  <c r="UQQ16" i="7"/>
  <c r="UQS16" i="7"/>
  <c r="UQU16" i="7"/>
  <c r="UQW16" i="7"/>
  <c r="UQY16" i="7"/>
  <c r="URA16" i="7"/>
  <c r="URC16" i="7"/>
  <c r="URE16" i="7"/>
  <c r="URG16" i="7"/>
  <c r="URI16" i="7"/>
  <c r="URK16" i="7"/>
  <c r="URM16" i="7"/>
  <c r="URO16" i="7"/>
  <c r="URQ16" i="7"/>
  <c r="URS16" i="7"/>
  <c r="URU16" i="7"/>
  <c r="URW16" i="7"/>
  <c r="URY16" i="7"/>
  <c r="USA16" i="7"/>
  <c r="USC16" i="7"/>
  <c r="USE16" i="7"/>
  <c r="USG16" i="7"/>
  <c r="USI16" i="7"/>
  <c r="USK16" i="7"/>
  <c r="USM16" i="7"/>
  <c r="USO16" i="7"/>
  <c r="USQ16" i="7"/>
  <c r="USS16" i="7"/>
  <c r="USU16" i="7"/>
  <c r="USW16" i="7"/>
  <c r="USY16" i="7"/>
  <c r="UTA16" i="7"/>
  <c r="UTC16" i="7"/>
  <c r="UTE16" i="7"/>
  <c r="UTG16" i="7"/>
  <c r="UTI16" i="7"/>
  <c r="UTK16" i="7"/>
  <c r="UTM16" i="7"/>
  <c r="UTO16" i="7"/>
  <c r="UTQ16" i="7"/>
  <c r="UTS16" i="7"/>
  <c r="UTU16" i="7"/>
  <c r="UTW16" i="7"/>
  <c r="UTY16" i="7"/>
  <c r="UUA16" i="7"/>
  <c r="UUC16" i="7"/>
  <c r="UUE16" i="7"/>
  <c r="UUG16" i="7"/>
  <c r="UUI16" i="7"/>
  <c r="UUK16" i="7"/>
  <c r="UUM16" i="7"/>
  <c r="UUO16" i="7"/>
  <c r="UUQ16" i="7"/>
  <c r="UUS16" i="7"/>
  <c r="UUU16" i="7"/>
  <c r="UUW16" i="7"/>
  <c r="UUY16" i="7"/>
  <c r="UVA16" i="7"/>
  <c r="UVC16" i="7"/>
  <c r="UVE16" i="7"/>
  <c r="UVG16" i="7"/>
  <c r="UVI16" i="7"/>
  <c r="UVK16" i="7"/>
  <c r="UVM16" i="7"/>
  <c r="UVO16" i="7"/>
  <c r="UVQ16" i="7"/>
  <c r="UVS16" i="7"/>
  <c r="UVU16" i="7"/>
  <c r="UVW16" i="7"/>
  <c r="UVY16" i="7"/>
  <c r="UWA16" i="7"/>
  <c r="UWC16" i="7"/>
  <c r="UWE16" i="7"/>
  <c r="UWG16" i="7"/>
  <c r="UWI16" i="7"/>
  <c r="UWK16" i="7"/>
  <c r="UWM16" i="7"/>
  <c r="UWO16" i="7"/>
  <c r="UWQ16" i="7"/>
  <c r="UWS16" i="7"/>
  <c r="UWU16" i="7"/>
  <c r="UWW16" i="7"/>
  <c r="UWY16" i="7"/>
  <c r="UXA16" i="7"/>
  <c r="UXC16" i="7"/>
  <c r="UXE16" i="7"/>
  <c r="UXG16" i="7"/>
  <c r="UXI16" i="7"/>
  <c r="UXK16" i="7"/>
  <c r="UXM16" i="7"/>
  <c r="UXO16" i="7"/>
  <c r="UXQ16" i="7"/>
  <c r="UXS16" i="7"/>
  <c r="UXU16" i="7"/>
  <c r="UXW16" i="7"/>
  <c r="UXY16" i="7"/>
  <c r="UYA16" i="7"/>
  <c r="UYC16" i="7"/>
  <c r="UYE16" i="7"/>
  <c r="UYG16" i="7"/>
  <c r="UYI16" i="7"/>
  <c r="UYK16" i="7"/>
  <c r="UYM16" i="7"/>
  <c r="UYO16" i="7"/>
  <c r="UYQ16" i="7"/>
  <c r="UYS16" i="7"/>
  <c r="UYU16" i="7"/>
  <c r="UYW16" i="7"/>
  <c r="UYY16" i="7"/>
  <c r="UZA16" i="7"/>
  <c r="UZC16" i="7"/>
  <c r="UZE16" i="7"/>
  <c r="UZG16" i="7"/>
  <c r="UZI16" i="7"/>
  <c r="UZK16" i="7"/>
  <c r="UZM16" i="7"/>
  <c r="UZO16" i="7"/>
  <c r="UZQ16" i="7"/>
  <c r="UZS16" i="7"/>
  <c r="UZU16" i="7"/>
  <c r="UZW16" i="7"/>
  <c r="UZY16" i="7"/>
  <c r="VAA16" i="7"/>
  <c r="VAC16" i="7"/>
  <c r="VAE16" i="7"/>
  <c r="VAG16" i="7"/>
  <c r="VAI16" i="7"/>
  <c r="VAK16" i="7"/>
  <c r="VAM16" i="7"/>
  <c r="VAO16" i="7"/>
  <c r="VAQ16" i="7"/>
  <c r="VAS16" i="7"/>
  <c r="VAU16" i="7"/>
  <c r="VAW16" i="7"/>
  <c r="VAY16" i="7"/>
  <c r="VBA16" i="7"/>
  <c r="VBC16" i="7"/>
  <c r="VBE16" i="7"/>
  <c r="VBG16" i="7"/>
  <c r="VBI16" i="7"/>
  <c r="VBK16" i="7"/>
  <c r="VBM16" i="7"/>
  <c r="VBO16" i="7"/>
  <c r="VBQ16" i="7"/>
  <c r="VBS16" i="7"/>
  <c r="VBU16" i="7"/>
  <c r="VBW16" i="7"/>
  <c r="VBY16" i="7"/>
  <c r="VCA16" i="7"/>
  <c r="VCC16" i="7"/>
  <c r="VCE16" i="7"/>
  <c r="VCG16" i="7"/>
  <c r="VCI16" i="7"/>
  <c r="VCK16" i="7"/>
  <c r="VCM16" i="7"/>
  <c r="VCO16" i="7"/>
  <c r="VCQ16" i="7"/>
  <c r="VCS16" i="7"/>
  <c r="VCU16" i="7"/>
  <c r="VCW16" i="7"/>
  <c r="VCY16" i="7"/>
  <c r="VDA16" i="7"/>
  <c r="VDC16" i="7"/>
  <c r="VDE16" i="7"/>
  <c r="VDG16" i="7"/>
  <c r="VDI16" i="7"/>
  <c r="VDK16" i="7"/>
  <c r="VDM16" i="7"/>
  <c r="VDO16" i="7"/>
  <c r="VDQ16" i="7"/>
  <c r="VDS16" i="7"/>
  <c r="VDU16" i="7"/>
  <c r="VDW16" i="7"/>
  <c r="VDY16" i="7"/>
  <c r="VEA16" i="7"/>
  <c r="VEC16" i="7"/>
  <c r="VEE16" i="7"/>
  <c r="VEG16" i="7"/>
  <c r="VEI16" i="7"/>
  <c r="VEK16" i="7"/>
  <c r="VEM16" i="7"/>
  <c r="VEO16" i="7"/>
  <c r="VEQ16" i="7"/>
  <c r="VES16" i="7"/>
  <c r="VEU16" i="7"/>
  <c r="VEW16" i="7"/>
  <c r="VEY16" i="7"/>
  <c r="VFA16" i="7"/>
  <c r="VFC16" i="7"/>
  <c r="VFE16" i="7"/>
  <c r="VFG16" i="7"/>
  <c r="VFI16" i="7"/>
  <c r="VFK16" i="7"/>
  <c r="VFM16" i="7"/>
  <c r="VFO16" i="7"/>
  <c r="VFQ16" i="7"/>
  <c r="VFS16" i="7"/>
  <c r="VFU16" i="7"/>
  <c r="VFW16" i="7"/>
  <c r="VFY16" i="7"/>
  <c r="VGA16" i="7"/>
  <c r="VGC16" i="7"/>
  <c r="VGE16" i="7"/>
  <c r="VGG16" i="7"/>
  <c r="VGI16" i="7"/>
  <c r="VGK16" i="7"/>
  <c r="VGM16" i="7"/>
  <c r="VGO16" i="7"/>
  <c r="VGQ16" i="7"/>
  <c r="VGS16" i="7"/>
  <c r="VGU16" i="7"/>
  <c r="VGW16" i="7"/>
  <c r="VGY16" i="7"/>
  <c r="VHA16" i="7"/>
  <c r="VHC16" i="7"/>
  <c r="VHE16" i="7"/>
  <c r="VHG16" i="7"/>
  <c r="VHI16" i="7"/>
  <c r="VHK16" i="7"/>
  <c r="VHM16" i="7"/>
  <c r="VHO16" i="7"/>
  <c r="VHQ16" i="7"/>
  <c r="VHS16" i="7"/>
  <c r="VHU16" i="7"/>
  <c r="VHW16" i="7"/>
  <c r="VHY16" i="7"/>
  <c r="VIA16" i="7"/>
  <c r="VIC16" i="7"/>
  <c r="VIE16" i="7"/>
  <c r="VIG16" i="7"/>
  <c r="VII16" i="7"/>
  <c r="VIK16" i="7"/>
  <c r="VIM16" i="7"/>
  <c r="VIO16" i="7"/>
  <c r="VIQ16" i="7"/>
  <c r="VIS16" i="7"/>
  <c r="VIU16" i="7"/>
  <c r="VIW16" i="7"/>
  <c r="VIY16" i="7"/>
  <c r="VJA16" i="7"/>
  <c r="VJC16" i="7"/>
  <c r="VJE16" i="7"/>
  <c r="VJG16" i="7"/>
  <c r="VJI16" i="7"/>
  <c r="VJK16" i="7"/>
  <c r="VJM16" i="7"/>
  <c r="VJO16" i="7"/>
  <c r="VJQ16" i="7"/>
  <c r="VJS16" i="7"/>
  <c r="VJU16" i="7"/>
  <c r="VJW16" i="7"/>
  <c r="VJY16" i="7"/>
  <c r="VKA16" i="7"/>
  <c r="VKC16" i="7"/>
  <c r="VKE16" i="7"/>
  <c r="VKG16" i="7"/>
  <c r="VKI16" i="7"/>
  <c r="VKK16" i="7"/>
  <c r="VKM16" i="7"/>
  <c r="VKO16" i="7"/>
  <c r="VKQ16" i="7"/>
  <c r="VKS16" i="7"/>
  <c r="VKU16" i="7"/>
  <c r="VKW16" i="7"/>
  <c r="VKY16" i="7"/>
  <c r="VLA16" i="7"/>
  <c r="VLC16" i="7"/>
  <c r="VLE16" i="7"/>
  <c r="VLG16" i="7"/>
  <c r="VLI16" i="7"/>
  <c r="VLK16" i="7"/>
  <c r="VLM16" i="7"/>
  <c r="VLO16" i="7"/>
  <c r="VLQ16" i="7"/>
  <c r="VLS16" i="7"/>
  <c r="VLU16" i="7"/>
  <c r="VLW16" i="7"/>
  <c r="VLY16" i="7"/>
  <c r="VMA16" i="7"/>
  <c r="VMC16" i="7"/>
  <c r="VME16" i="7"/>
  <c r="VMG16" i="7"/>
  <c r="VMI16" i="7"/>
  <c r="VMK16" i="7"/>
  <c r="VMM16" i="7"/>
  <c r="VMO16" i="7"/>
  <c r="VMQ16" i="7"/>
  <c r="VMS16" i="7"/>
  <c r="VMU16" i="7"/>
  <c r="VMW16" i="7"/>
  <c r="VMY16" i="7"/>
  <c r="VNA16" i="7"/>
  <c r="VNC16" i="7"/>
  <c r="VNE16" i="7"/>
  <c r="VNG16" i="7"/>
  <c r="VNI16" i="7"/>
  <c r="VNK16" i="7"/>
  <c r="VNM16" i="7"/>
  <c r="VNO16" i="7"/>
  <c r="VNQ16" i="7"/>
  <c r="VNS16" i="7"/>
  <c r="VNU16" i="7"/>
  <c r="VNW16" i="7"/>
  <c r="VNY16" i="7"/>
  <c r="VOA16" i="7"/>
  <c r="VOC16" i="7"/>
  <c r="VOE16" i="7"/>
  <c r="VOG16" i="7"/>
  <c r="VOI16" i="7"/>
  <c r="VOK16" i="7"/>
  <c r="VOM16" i="7"/>
  <c r="VOO16" i="7"/>
  <c r="VOQ16" i="7"/>
  <c r="VOS16" i="7"/>
  <c r="VOU16" i="7"/>
  <c r="VOW16" i="7"/>
  <c r="VOY16" i="7"/>
  <c r="VPA16" i="7"/>
  <c r="VPC16" i="7"/>
  <c r="VPE16" i="7"/>
  <c r="VPG16" i="7"/>
  <c r="VPI16" i="7"/>
  <c r="VPK16" i="7"/>
  <c r="VPM16" i="7"/>
  <c r="VPO16" i="7"/>
  <c r="VPQ16" i="7"/>
  <c r="VPS16" i="7"/>
  <c r="VPU16" i="7"/>
  <c r="VPW16" i="7"/>
  <c r="VPY16" i="7"/>
  <c r="VQA16" i="7"/>
  <c r="VQC16" i="7"/>
  <c r="VQE16" i="7"/>
  <c r="VQG16" i="7"/>
  <c r="VQI16" i="7"/>
  <c r="VQK16" i="7"/>
  <c r="VQM16" i="7"/>
  <c r="VQO16" i="7"/>
  <c r="VQQ16" i="7"/>
  <c r="VQS16" i="7"/>
  <c r="VQU16" i="7"/>
  <c r="VQW16" i="7"/>
  <c r="VQY16" i="7"/>
  <c r="VRA16" i="7"/>
  <c r="VRC16" i="7"/>
  <c r="VRE16" i="7"/>
  <c r="VRG16" i="7"/>
  <c r="VRI16" i="7"/>
  <c r="VRK16" i="7"/>
  <c r="VRM16" i="7"/>
  <c r="VRO16" i="7"/>
  <c r="VRQ16" i="7"/>
  <c r="VRS16" i="7"/>
  <c r="VRU16" i="7"/>
  <c r="VRW16" i="7"/>
  <c r="VRY16" i="7"/>
  <c r="VSA16" i="7"/>
  <c r="VSC16" i="7"/>
  <c r="VSE16" i="7"/>
  <c r="VSG16" i="7"/>
  <c r="VSI16" i="7"/>
  <c r="VSK16" i="7"/>
  <c r="VSM16" i="7"/>
  <c r="VSO16" i="7"/>
  <c r="VSQ16" i="7"/>
  <c r="VSS16" i="7"/>
  <c r="VSU16" i="7"/>
  <c r="VSW16" i="7"/>
  <c r="VSY16" i="7"/>
  <c r="VTA16" i="7"/>
  <c r="VTC16" i="7"/>
  <c r="VTE16" i="7"/>
  <c r="VTG16" i="7"/>
  <c r="VTI16" i="7"/>
  <c r="VTK16" i="7"/>
  <c r="VTM16" i="7"/>
  <c r="VTO16" i="7"/>
  <c r="VTQ16" i="7"/>
  <c r="VTS16" i="7"/>
  <c r="VTU16" i="7"/>
  <c r="VTW16" i="7"/>
  <c r="VTY16" i="7"/>
  <c r="VUA16" i="7"/>
  <c r="VUC16" i="7"/>
  <c r="VUE16" i="7"/>
  <c r="VUG16" i="7"/>
  <c r="VUI16" i="7"/>
  <c r="VUK16" i="7"/>
  <c r="VUM16" i="7"/>
  <c r="VUO16" i="7"/>
  <c r="VUQ16" i="7"/>
  <c r="VUS16" i="7"/>
  <c r="VUU16" i="7"/>
  <c r="VUW16" i="7"/>
  <c r="VUY16" i="7"/>
  <c r="VVA16" i="7"/>
  <c r="VVC16" i="7"/>
  <c r="VVE16" i="7"/>
  <c r="VVG16" i="7"/>
  <c r="VVI16" i="7"/>
  <c r="VVK16" i="7"/>
  <c r="VVM16" i="7"/>
  <c r="VVO16" i="7"/>
  <c r="VVQ16" i="7"/>
  <c r="VVS16" i="7"/>
  <c r="VVU16" i="7"/>
  <c r="VVW16" i="7"/>
  <c r="VVY16" i="7"/>
  <c r="VWA16" i="7"/>
  <c r="VWC16" i="7"/>
  <c r="VWE16" i="7"/>
  <c r="VWG16" i="7"/>
  <c r="VWI16" i="7"/>
  <c r="VWK16" i="7"/>
  <c r="VWM16" i="7"/>
  <c r="VWO16" i="7"/>
  <c r="VWQ16" i="7"/>
  <c r="VWS16" i="7"/>
  <c r="VWU16" i="7"/>
  <c r="VWW16" i="7"/>
  <c r="VWY16" i="7"/>
  <c r="VXA16" i="7"/>
  <c r="VXC16" i="7"/>
  <c r="VXE16" i="7"/>
  <c r="VXG16" i="7"/>
  <c r="VXI16" i="7"/>
  <c r="VXK16" i="7"/>
  <c r="VXM16" i="7"/>
  <c r="VXO16" i="7"/>
  <c r="VXQ16" i="7"/>
  <c r="VXS16" i="7"/>
  <c r="VXU16" i="7"/>
  <c r="VXW16" i="7"/>
  <c r="VXY16" i="7"/>
  <c r="VYA16" i="7"/>
  <c r="VYC16" i="7"/>
  <c r="VYE16" i="7"/>
  <c r="VYG16" i="7"/>
  <c r="VYI16" i="7"/>
  <c r="VYK16" i="7"/>
  <c r="VYM16" i="7"/>
  <c r="VYO16" i="7"/>
  <c r="VYQ16" i="7"/>
  <c r="VYS16" i="7"/>
  <c r="VYU16" i="7"/>
  <c r="VYW16" i="7"/>
  <c r="VYY16" i="7"/>
  <c r="VZA16" i="7"/>
  <c r="VZC16" i="7"/>
  <c r="VZE16" i="7"/>
  <c r="VZG16" i="7"/>
  <c r="VZI16" i="7"/>
  <c r="VZK16" i="7"/>
  <c r="VZM16" i="7"/>
  <c r="VZO16" i="7"/>
  <c r="VZQ16" i="7"/>
  <c r="VZS16" i="7"/>
  <c r="VZU16" i="7"/>
  <c r="VZW16" i="7"/>
  <c r="VZY16" i="7"/>
  <c r="WAA16" i="7"/>
  <c r="WAC16" i="7"/>
  <c r="WAE16" i="7"/>
  <c r="WAG16" i="7"/>
  <c r="WAI16" i="7"/>
  <c r="WAK16" i="7"/>
  <c r="WAM16" i="7"/>
  <c r="WAO16" i="7"/>
  <c r="WAQ16" i="7"/>
  <c r="WAS16" i="7"/>
  <c r="WAU16" i="7"/>
  <c r="WAW16" i="7"/>
  <c r="WAY16" i="7"/>
  <c r="WBA16" i="7"/>
  <c r="WBC16" i="7"/>
  <c r="WBE16" i="7"/>
  <c r="WBG16" i="7"/>
  <c r="WBI16" i="7"/>
  <c r="WBK16" i="7"/>
  <c r="WBM16" i="7"/>
  <c r="WBO16" i="7"/>
  <c r="WBQ16" i="7"/>
  <c r="WBS16" i="7"/>
  <c r="WBU16" i="7"/>
  <c r="WBW16" i="7"/>
  <c r="WBY16" i="7"/>
  <c r="WCA16" i="7"/>
  <c r="WCC16" i="7"/>
  <c r="WCE16" i="7"/>
  <c r="WCG16" i="7"/>
  <c r="WCI16" i="7"/>
  <c r="WCK16" i="7"/>
  <c r="WCM16" i="7"/>
  <c r="WCO16" i="7"/>
  <c r="WCQ16" i="7"/>
  <c r="WCS16" i="7"/>
  <c r="WCU16" i="7"/>
  <c r="WCW16" i="7"/>
  <c r="WCY16" i="7"/>
  <c r="WDA16" i="7"/>
  <c r="WDC16" i="7"/>
  <c r="WDE16" i="7"/>
  <c r="WDG16" i="7"/>
  <c r="WDI16" i="7"/>
  <c r="WDK16" i="7"/>
  <c r="WDM16" i="7"/>
  <c r="WDO16" i="7"/>
  <c r="WDQ16" i="7"/>
  <c r="WDS16" i="7"/>
  <c r="WDU16" i="7"/>
  <c r="WDW16" i="7"/>
  <c r="WDY16" i="7"/>
  <c r="WEA16" i="7"/>
  <c r="WEC16" i="7"/>
  <c r="WEE16" i="7"/>
  <c r="WEG16" i="7"/>
  <c r="WEI16" i="7"/>
  <c r="WEK16" i="7"/>
  <c r="WEM16" i="7"/>
  <c r="WEO16" i="7"/>
  <c r="WEQ16" i="7"/>
  <c r="WES16" i="7"/>
  <c r="WEU16" i="7"/>
  <c r="WEW16" i="7"/>
  <c r="WEY16" i="7"/>
  <c r="WFA16" i="7"/>
  <c r="WFC16" i="7"/>
  <c r="WFE16" i="7"/>
  <c r="WFG16" i="7"/>
  <c r="WFI16" i="7"/>
  <c r="WFK16" i="7"/>
  <c r="WFM16" i="7"/>
  <c r="WFO16" i="7"/>
  <c r="WFQ16" i="7"/>
  <c r="WFS16" i="7"/>
  <c r="WFU16" i="7"/>
  <c r="WFW16" i="7"/>
  <c r="WFY16" i="7"/>
  <c r="WGA16" i="7"/>
  <c r="WGC16" i="7"/>
  <c r="WGE16" i="7"/>
  <c r="WGG16" i="7"/>
  <c r="WGI16" i="7"/>
  <c r="WGK16" i="7"/>
  <c r="WGM16" i="7"/>
  <c r="WGO16" i="7"/>
  <c r="WGQ16" i="7"/>
  <c r="WGS16" i="7"/>
  <c r="WGU16" i="7"/>
  <c r="WGW16" i="7"/>
  <c r="WGY16" i="7"/>
  <c r="WHA16" i="7"/>
  <c r="WHC16" i="7"/>
  <c r="WHE16" i="7"/>
  <c r="WHG16" i="7"/>
  <c r="WHI16" i="7"/>
  <c r="WHK16" i="7"/>
  <c r="WHM16" i="7"/>
  <c r="WHO16" i="7"/>
  <c r="WHQ16" i="7"/>
  <c r="WHS16" i="7"/>
  <c r="WHU16" i="7"/>
  <c r="WHW16" i="7"/>
  <c r="WHY16" i="7"/>
  <c r="WIA16" i="7"/>
  <c r="WIC16" i="7"/>
  <c r="WIE16" i="7"/>
  <c r="WIG16" i="7"/>
  <c r="WII16" i="7"/>
  <c r="WIK16" i="7"/>
  <c r="WIM16" i="7"/>
  <c r="WIO16" i="7"/>
  <c r="WIQ16" i="7"/>
  <c r="WIS16" i="7"/>
  <c r="WIU16" i="7"/>
  <c r="WIW16" i="7"/>
  <c r="WIY16" i="7"/>
  <c r="WJA16" i="7"/>
  <c r="WJC16" i="7"/>
  <c r="WJE16" i="7"/>
  <c r="WJG16" i="7"/>
  <c r="WJI16" i="7"/>
  <c r="WJK16" i="7"/>
  <c r="WJM16" i="7"/>
  <c r="WJO16" i="7"/>
  <c r="WJQ16" i="7"/>
  <c r="WJS16" i="7"/>
  <c r="WJU16" i="7"/>
  <c r="WJW16" i="7"/>
  <c r="WJY16" i="7"/>
  <c r="WKA16" i="7"/>
  <c r="WKC16" i="7"/>
  <c r="WKE16" i="7"/>
  <c r="WKG16" i="7"/>
  <c r="WKI16" i="7"/>
  <c r="WKK16" i="7"/>
  <c r="WKM16" i="7"/>
  <c r="WKO16" i="7"/>
  <c r="WKQ16" i="7"/>
  <c r="WKS16" i="7"/>
  <c r="WKU16" i="7"/>
  <c r="WKW16" i="7"/>
  <c r="WKY16" i="7"/>
  <c r="WLA16" i="7"/>
  <c r="WLC16" i="7"/>
  <c r="WLE16" i="7"/>
  <c r="WLG16" i="7"/>
  <c r="WLI16" i="7"/>
  <c r="WLK16" i="7"/>
  <c r="WLM16" i="7"/>
  <c r="WLO16" i="7"/>
  <c r="WLQ16" i="7"/>
  <c r="WLS16" i="7"/>
  <c r="WLU16" i="7"/>
  <c r="WLW16" i="7"/>
  <c r="WLY16" i="7"/>
  <c r="WMA16" i="7"/>
  <c r="WMC16" i="7"/>
  <c r="WME16" i="7"/>
  <c r="WMG16" i="7"/>
  <c r="WMI16" i="7"/>
  <c r="WMK16" i="7"/>
  <c r="WMM16" i="7"/>
  <c r="WMO16" i="7"/>
  <c r="WMQ16" i="7"/>
  <c r="WMS16" i="7"/>
  <c r="WMU16" i="7"/>
  <c r="WMW16" i="7"/>
  <c r="WMY16" i="7"/>
  <c r="WNA16" i="7"/>
  <c r="WNC16" i="7"/>
  <c r="WNE16" i="7"/>
  <c r="WNG16" i="7"/>
  <c r="WNI16" i="7"/>
  <c r="WNK16" i="7"/>
  <c r="WNM16" i="7"/>
  <c r="WNO16" i="7"/>
  <c r="WNQ16" i="7"/>
  <c r="WNS16" i="7"/>
  <c r="WNU16" i="7"/>
  <c r="WNW16" i="7"/>
  <c r="WNY16" i="7"/>
  <c r="WOA16" i="7"/>
  <c r="WOC16" i="7"/>
  <c r="WOE16" i="7"/>
  <c r="WOG16" i="7"/>
  <c r="WOI16" i="7"/>
  <c r="WOK16" i="7"/>
  <c r="WOM16" i="7"/>
  <c r="WOO16" i="7"/>
  <c r="WOQ16" i="7"/>
  <c r="WOS16" i="7"/>
  <c r="WOU16" i="7"/>
  <c r="WOW16" i="7"/>
  <c r="WOY16" i="7"/>
  <c r="WPA16" i="7"/>
  <c r="WPC16" i="7"/>
  <c r="WPE16" i="7"/>
  <c r="WPG16" i="7"/>
  <c r="WPI16" i="7"/>
  <c r="WPK16" i="7"/>
  <c r="WPM16" i="7"/>
  <c r="WPO16" i="7"/>
  <c r="WPQ16" i="7"/>
  <c r="WPS16" i="7"/>
  <c r="WPU16" i="7"/>
  <c r="WPW16" i="7"/>
  <c r="WPY16" i="7"/>
  <c r="WQA16" i="7"/>
  <c r="WQC16" i="7"/>
  <c r="WQE16" i="7"/>
  <c r="WQG16" i="7"/>
  <c r="WQI16" i="7"/>
  <c r="WQK16" i="7"/>
  <c r="WQM16" i="7"/>
  <c r="WQO16" i="7"/>
  <c r="WQQ16" i="7"/>
  <c r="WQS16" i="7"/>
  <c r="WQU16" i="7"/>
  <c r="WQW16" i="7"/>
  <c r="WQY16" i="7"/>
  <c r="WRA16" i="7"/>
  <c r="WRC16" i="7"/>
  <c r="WRE16" i="7"/>
  <c r="WRG16" i="7"/>
  <c r="WRI16" i="7"/>
  <c r="WRK16" i="7"/>
  <c r="WRM16" i="7"/>
  <c r="WRO16" i="7"/>
  <c r="WRQ16" i="7"/>
  <c r="WRS16" i="7"/>
  <c r="WRU16" i="7"/>
  <c r="WRW16" i="7"/>
  <c r="WRY16" i="7"/>
  <c r="WSA16" i="7"/>
  <c r="WSC16" i="7"/>
  <c r="WSE16" i="7"/>
  <c r="WSG16" i="7"/>
  <c r="WSI16" i="7"/>
  <c r="WSK16" i="7"/>
  <c r="WSM16" i="7"/>
  <c r="WSO16" i="7"/>
  <c r="WSQ16" i="7"/>
  <c r="WSS16" i="7"/>
  <c r="WSU16" i="7"/>
  <c r="WSW16" i="7"/>
  <c r="WSY16" i="7"/>
  <c r="WTA16" i="7"/>
  <c r="WTC16" i="7"/>
  <c r="WTE16" i="7"/>
  <c r="WTG16" i="7"/>
  <c r="WTI16" i="7"/>
  <c r="WTK16" i="7"/>
  <c r="WTM16" i="7"/>
  <c r="WTO16" i="7"/>
  <c r="WTQ16" i="7"/>
  <c r="WTS16" i="7"/>
  <c r="WTU16" i="7"/>
  <c r="WTW16" i="7"/>
  <c r="WTY16" i="7"/>
  <c r="WUA16" i="7"/>
  <c r="WUC16" i="7"/>
  <c r="WUE16" i="7"/>
  <c r="WUG16" i="7"/>
  <c r="WUI16" i="7"/>
  <c r="WUK16" i="7"/>
  <c r="WUM16" i="7"/>
  <c r="WUO16" i="7"/>
  <c r="WUQ16" i="7"/>
  <c r="WUS16" i="7"/>
  <c r="WUU16" i="7"/>
  <c r="WUW16" i="7"/>
  <c r="WUY16" i="7"/>
  <c r="WVA16" i="7"/>
  <c r="WVC16" i="7"/>
  <c r="WVE16" i="7"/>
  <c r="WVG16" i="7"/>
  <c r="WVI16" i="7"/>
  <c r="WVK16" i="7"/>
  <c r="WVM16" i="7"/>
  <c r="WVO16" i="7"/>
  <c r="WVQ16" i="7"/>
  <c r="WVS16" i="7"/>
  <c r="WVU16" i="7"/>
  <c r="WVW16" i="7"/>
  <c r="WVY16" i="7"/>
  <c r="WWA16" i="7"/>
  <c r="WWC16" i="7"/>
  <c r="WWE16" i="7"/>
  <c r="WWG16" i="7"/>
  <c r="WWI16" i="7"/>
  <c r="WWK16" i="7"/>
  <c r="WWM16" i="7"/>
  <c r="WWO16" i="7"/>
  <c r="WWQ16" i="7"/>
  <c r="WWS16" i="7"/>
  <c r="WWU16" i="7"/>
  <c r="WWW16" i="7"/>
  <c r="WWY16" i="7"/>
  <c r="WXA16" i="7"/>
  <c r="WXC16" i="7"/>
  <c r="WXE16" i="7"/>
  <c r="WXG16" i="7"/>
  <c r="WXI16" i="7"/>
  <c r="WXK16" i="7"/>
  <c r="WXM16" i="7"/>
  <c r="WXO16" i="7"/>
  <c r="WXQ16" i="7"/>
  <c r="WXS16" i="7"/>
  <c r="WXU16" i="7"/>
  <c r="WXW16" i="7"/>
  <c r="WXY16" i="7"/>
  <c r="WYA16" i="7"/>
  <c r="WYC16" i="7"/>
  <c r="WYE16" i="7"/>
  <c r="WYG16" i="7"/>
  <c r="WYI16" i="7"/>
  <c r="WYK16" i="7"/>
  <c r="WYM16" i="7"/>
  <c r="WYO16" i="7"/>
  <c r="WYQ16" i="7"/>
  <c r="WYS16" i="7"/>
  <c r="WYU16" i="7"/>
  <c r="WYW16" i="7"/>
  <c r="WYY16" i="7"/>
  <c r="WZA16" i="7"/>
  <c r="WZC16" i="7"/>
  <c r="WZE16" i="7"/>
  <c r="WZG16" i="7"/>
  <c r="WZI16" i="7"/>
  <c r="WZK16" i="7"/>
  <c r="WZM16" i="7"/>
  <c r="WZO16" i="7"/>
  <c r="WZQ16" i="7"/>
  <c r="WZS16" i="7"/>
  <c r="WZU16" i="7"/>
  <c r="WZW16" i="7"/>
  <c r="WZY16" i="7"/>
  <c r="XAA16" i="7"/>
  <c r="XAC16" i="7"/>
  <c r="XAE16" i="7"/>
  <c r="XAG16" i="7"/>
  <c r="XAI16" i="7"/>
  <c r="XAK16" i="7"/>
  <c r="XAM16" i="7"/>
  <c r="XAO16" i="7"/>
  <c r="XAQ16" i="7"/>
  <c r="XAS16" i="7"/>
  <c r="XAU16" i="7"/>
  <c r="XAW16" i="7"/>
  <c r="XAY16" i="7"/>
  <c r="XBA16" i="7"/>
  <c r="XBC16" i="7"/>
  <c r="XBE16" i="7"/>
  <c r="XBG16" i="7"/>
  <c r="XBI16" i="7"/>
  <c r="XBK16" i="7"/>
  <c r="XBM16" i="7"/>
  <c r="XBO16" i="7"/>
  <c r="XBQ16" i="7"/>
  <c r="XBS16" i="7"/>
  <c r="XBU16" i="7"/>
  <c r="XBW16" i="7"/>
  <c r="XBY16" i="7"/>
  <c r="XCA16" i="7"/>
  <c r="XCC16" i="7"/>
  <c r="XCE16" i="7"/>
  <c r="XCG16" i="7"/>
  <c r="XCI16" i="7"/>
  <c r="XCK16" i="7"/>
  <c r="XCM16" i="7"/>
  <c r="XCO16" i="7"/>
  <c r="XCQ16" i="7"/>
  <c r="XCS16" i="7"/>
  <c r="XCU16" i="7"/>
  <c r="XCW16" i="7"/>
  <c r="XCY16" i="7"/>
  <c r="XDA16" i="7"/>
  <c r="XDC16" i="7"/>
  <c r="XDE16" i="7"/>
  <c r="XDG16" i="7"/>
  <c r="XDI16" i="7"/>
  <c r="XDK16" i="7"/>
  <c r="XDM16" i="7"/>
  <c r="XDO16" i="7"/>
  <c r="XDQ16" i="7"/>
  <c r="XDS16" i="7"/>
  <c r="XDU16" i="7"/>
  <c r="XDW16" i="7"/>
  <c r="XDY16" i="7"/>
  <c r="XEA16" i="7"/>
  <c r="XEC16" i="7"/>
  <c r="XEE16" i="7"/>
  <c r="XEG16" i="7"/>
  <c r="XEI16" i="7"/>
  <c r="XEK16" i="7"/>
  <c r="XEM16" i="7"/>
  <c r="XEO16" i="7"/>
  <c r="XEQ16" i="7"/>
  <c r="XES16" i="7"/>
  <c r="XEU16" i="7"/>
  <c r="XEW16" i="7"/>
  <c r="XEY16" i="7"/>
  <c r="XFA16" i="7"/>
  <c r="XFC16" i="7"/>
  <c r="AG63" i="7" l="1"/>
  <c r="AD189" i="20" l="1"/>
  <c r="AD188" i="20"/>
  <c r="E93" i="4"/>
  <c r="E84" i="4"/>
  <c r="E86" i="4"/>
  <c r="E87" i="4"/>
  <c r="E88" i="4"/>
  <c r="E89" i="4"/>
  <c r="E90" i="4"/>
  <c r="E91" i="4"/>
  <c r="E92" i="4"/>
  <c r="E83" i="4"/>
  <c r="E80" i="4"/>
  <c r="E79" i="4"/>
  <c r="E75" i="4"/>
  <c r="E69" i="4"/>
  <c r="E65" i="4"/>
  <c r="E57" i="4"/>
  <c r="E58" i="4"/>
  <c r="E56" i="4"/>
  <c r="E61" i="4"/>
  <c r="E59" i="4"/>
  <c r="E60" i="4"/>
  <c r="E51" i="4"/>
  <c r="E50" i="4"/>
  <c r="E49" i="4"/>
  <c r="E48" i="4"/>
  <c r="E47" i="4"/>
  <c r="E46" i="4"/>
  <c r="E45" i="4"/>
  <c r="E43" i="4"/>
  <c r="E41" i="4"/>
  <c r="E40" i="4"/>
  <c r="E34" i="4"/>
  <c r="E36" i="4"/>
  <c r="E37" i="4"/>
  <c r="E35" i="4"/>
  <c r="E33" i="4"/>
  <c r="E32" i="4"/>
  <c r="E31" i="4"/>
  <c r="E29" i="4"/>
  <c r="E4" i="4"/>
  <c r="C73" i="13"/>
  <c r="C76" i="13"/>
  <c r="C72" i="13"/>
  <c r="F66" i="13"/>
  <c r="F67" i="13"/>
  <c r="F68" i="13"/>
  <c r="C66" i="13"/>
  <c r="C67" i="13"/>
  <c r="C68" i="13"/>
  <c r="C59" i="13"/>
  <c r="C60" i="13"/>
  <c r="F52" i="13"/>
  <c r="F53" i="13"/>
  <c r="C52" i="13"/>
  <c r="C53" i="13"/>
  <c r="C34" i="13"/>
  <c r="C36" i="13"/>
  <c r="F14" i="13"/>
  <c r="C15" i="13"/>
  <c r="C14" i="13"/>
  <c r="C9" i="13"/>
  <c r="C7" i="13"/>
  <c r="C6" i="13"/>
  <c r="E85" i="4" l="1"/>
  <c r="E13" i="4"/>
  <c r="O70" i="27"/>
  <c r="AG393" i="3"/>
  <c r="Q393" i="3" s="1"/>
  <c r="AL38" i="27"/>
  <c r="AH37" i="27"/>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H24" i="13"/>
  <c r="E24" i="13"/>
  <c r="B24" i="13"/>
  <c r="C104" i="4"/>
  <c r="B104" i="4" s="1"/>
  <c r="B99" i="4"/>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E52" i="13"/>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29" i="13"/>
  <c r="F29" i="13" s="1"/>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C74" i="13" s="1"/>
  <c r="B73" i="13"/>
  <c r="B72" i="13"/>
  <c r="B65" i="13"/>
  <c r="C65" i="13" s="1"/>
  <c r="B61" i="13"/>
  <c r="C61" i="13" s="1"/>
  <c r="B60" i="13"/>
  <c r="B59" i="13"/>
  <c r="B58" i="13"/>
  <c r="C58" i="13" s="1"/>
  <c r="B57" i="13"/>
  <c r="C57" i="13" s="1"/>
  <c r="B56" i="13"/>
  <c r="C56" i="13" s="1"/>
  <c r="B53" i="13"/>
  <c r="B52" i="13"/>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4" s="1"/>
  <c r="B9" i="13"/>
  <c r="B10" i="13"/>
  <c r="C10" i="13" s="1"/>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R8" i="4" s="1"/>
  <c r="B5" i="11"/>
  <c r="B9" i="11" s="1"/>
  <c r="B13" i="11" s="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B71" i="11" s="1"/>
  <c r="C66" i="11"/>
  <c r="B73" i="11"/>
  <c r="C73" i="11"/>
  <c r="B74" i="11"/>
  <c r="C74" i="11"/>
  <c r="B75" i="11"/>
  <c r="C75" i="11"/>
  <c r="B76" i="11"/>
  <c r="B78" i="11" s="1"/>
  <c r="C76" i="11"/>
  <c r="C78" i="11" s="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4" i="7"/>
  <c r="G54" i="7"/>
  <c r="H11" i="13"/>
  <c r="T26" i="4"/>
  <c r="H26" i="13"/>
  <c r="T42" i="4"/>
  <c r="H42" i="13"/>
  <c r="T54" i="4"/>
  <c r="H54" i="13"/>
  <c r="T70" i="4"/>
  <c r="H70" i="13"/>
  <c r="T96" i="4"/>
  <c r="H96" i="13"/>
  <c r="C11" i="4"/>
  <c r="B11" i="13" s="1"/>
  <c r="B26" i="13"/>
  <c r="C38" i="4"/>
  <c r="B38" i="13" s="1"/>
  <c r="C54" i="4"/>
  <c r="B54" i="13" s="1"/>
  <c r="C62" i="4"/>
  <c r="B62" i="13" s="1"/>
  <c r="C77" i="4"/>
  <c r="B77" i="13" s="1"/>
  <c r="C96" i="4"/>
  <c r="B96" i="13" s="1"/>
  <c r="D8" i="4"/>
  <c r="D11" i="4"/>
  <c r="D26" i="4"/>
  <c r="D38" i="4"/>
  <c r="D42" i="4"/>
  <c r="D54" i="4"/>
  <c r="D62" i="4"/>
  <c r="D77" i="4"/>
  <c r="D96" i="4"/>
  <c r="D104" i="4"/>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F38" i="4" s="1"/>
  <c r="F63" i="4" s="1"/>
  <c r="F97" i="4" s="1"/>
  <c r="F105" i="4" s="1"/>
  <c r="G108" i="4"/>
  <c r="G30" i="4" s="1"/>
  <c r="G38" i="4" s="1"/>
  <c r="G63" i="4" s="1"/>
  <c r="G97" i="4" s="1"/>
  <c r="G105" i="4" s="1"/>
  <c r="H108" i="4"/>
  <c r="H99" i="4" s="1"/>
  <c r="E99" i="4" s="1"/>
  <c r="E104" i="4"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D53" i="11"/>
  <c r="J63" i="13"/>
  <c r="J97" i="13"/>
  <c r="J105" i="13"/>
  <c r="J107" i="13"/>
  <c r="L12" i="4"/>
  <c r="D93" i="11"/>
  <c r="D70" i="11"/>
  <c r="I12" i="4"/>
  <c r="G12" i="4"/>
  <c r="D6" i="11"/>
  <c r="L63" i="4"/>
  <c r="L97" i="4"/>
  <c r="L105" i="4"/>
  <c r="Q12" i="4"/>
  <c r="O63" i="4"/>
  <c r="O97" i="4"/>
  <c r="O105" i="4"/>
  <c r="D18" i="11"/>
  <c r="D10" i="11"/>
  <c r="G63" i="13"/>
  <c r="G97" i="13"/>
  <c r="G105" i="13"/>
  <c r="G107" i="13"/>
  <c r="D61" i="11"/>
  <c r="D20" i="11"/>
  <c r="D8" i="11"/>
  <c r="D102" i="11"/>
  <c r="K12" i="4"/>
  <c r="D63" i="4"/>
  <c r="D97" i="4"/>
  <c r="D105" i="4"/>
  <c r="D7" i="11"/>
  <c r="J12" i="4"/>
  <c r="D22" i="11"/>
  <c r="O12" i="4"/>
  <c r="I63" i="4"/>
  <c r="I97" i="4"/>
  <c r="I105" i="4"/>
  <c r="D25" i="11"/>
  <c r="D12" i="4"/>
  <c r="H12" i="4"/>
  <c r="D23" i="11"/>
  <c r="D19" i="11"/>
  <c r="D89" i="11"/>
  <c r="D73" i="11"/>
  <c r="D35" i="11"/>
  <c r="D15" i="11"/>
  <c r="D63" i="13"/>
  <c r="D97" i="13"/>
  <c r="D105" i="13"/>
  <c r="Q63" i="4"/>
  <c r="Q97" i="4"/>
  <c r="Q105" i="4"/>
  <c r="N63" i="4"/>
  <c r="N97" i="4"/>
  <c r="N105" i="4"/>
  <c r="N12" i="4"/>
  <c r="H63" i="4"/>
  <c r="H97" i="4"/>
  <c r="F12" i="4"/>
  <c r="D60" i="11"/>
  <c r="M12" i="4"/>
  <c r="D74" i="11"/>
  <c r="D38" i="11"/>
  <c r="P63" i="4"/>
  <c r="P97" i="4"/>
  <c r="P105" i="4"/>
  <c r="D12" i="13"/>
  <c r="D24" i="11"/>
  <c r="D101" i="11"/>
  <c r="D75" i="11"/>
  <c r="D28" i="11"/>
  <c r="D103" i="11"/>
  <c r="D21" i="11"/>
  <c r="D16" i="11"/>
  <c r="B12" i="11"/>
  <c r="R26" i="4"/>
  <c r="AD199" i="20"/>
  <c r="D77" i="11"/>
  <c r="M63" i="4"/>
  <c r="M97" i="4"/>
  <c r="M105" i="4"/>
  <c r="J63" i="4"/>
  <c r="J97" i="4"/>
  <c r="J105" i="4"/>
  <c r="C12" i="11"/>
  <c r="D12" i="11" s="1"/>
  <c r="K63" i="4"/>
  <c r="K97" i="4"/>
  <c r="K105" i="4"/>
  <c r="D104" i="11"/>
  <c r="D11" i="11"/>
  <c r="C77" i="13" l="1"/>
  <c r="E12" i="4"/>
  <c r="R12" i="4"/>
  <c r="B11" i="4"/>
  <c r="B12" i="4" s="1"/>
  <c r="C13" i="11"/>
  <c r="D13" i="11" s="1"/>
  <c r="D88" i="11"/>
  <c r="D32" i="11"/>
  <c r="D91" i="11"/>
  <c r="D87" i="11"/>
  <c r="D34" i="11"/>
  <c r="D85" i="11"/>
  <c r="D100" i="11"/>
  <c r="C71" i="11"/>
  <c r="D46" i="11"/>
  <c r="B82" i="11"/>
  <c r="D90" i="11"/>
  <c r="D86" i="11"/>
  <c r="D41" i="11"/>
  <c r="B43" i="11"/>
  <c r="B77" i="4"/>
  <c r="D62" i="11"/>
  <c r="D58" i="11"/>
  <c r="B39" i="11"/>
  <c r="F42" i="13"/>
  <c r="D49" i="11"/>
  <c r="C12" i="4"/>
  <c r="B12" i="13" s="1"/>
  <c r="D94" i="11"/>
  <c r="D30" i="11"/>
  <c r="R42" i="4"/>
  <c r="R62" i="4"/>
  <c r="D80" i="11"/>
  <c r="D33" i="11"/>
  <c r="D96" i="11"/>
  <c r="D92" i="11"/>
  <c r="D76" i="11"/>
  <c r="B81" i="13"/>
  <c r="D81" i="11"/>
  <c r="C70" i="13"/>
  <c r="D36" i="11"/>
  <c r="C82" i="11"/>
  <c r="C42" i="13"/>
  <c r="C81" i="13"/>
  <c r="D14" i="11"/>
  <c r="D5" i="11"/>
  <c r="B62" i="4"/>
  <c r="N186" i="27"/>
  <c r="B104" i="13"/>
  <c r="D66" i="11"/>
  <c r="B63" i="11"/>
  <c r="C55" i="11"/>
  <c r="D52" i="11"/>
  <c r="C43" i="11"/>
  <c r="R70" i="4"/>
  <c r="I54" i="7"/>
  <c r="D50" i="11"/>
  <c r="D84" i="11"/>
  <c r="D51" i="11"/>
  <c r="D78" i="11"/>
  <c r="G67" i="21"/>
  <c r="B97" i="11"/>
  <c r="D95" i="11"/>
  <c r="E30" i="4"/>
  <c r="D48" i="11"/>
  <c r="D44" i="11"/>
  <c r="R99" i="4"/>
  <c r="R104" i="4" s="1"/>
  <c r="B8" i="13"/>
  <c r="F81" i="13"/>
  <c r="D71" i="11"/>
  <c r="D59" i="11"/>
  <c r="D42" i="11"/>
  <c r="C38" i="13"/>
  <c r="H104" i="4"/>
  <c r="H105" i="4" s="1"/>
  <c r="R54" i="4"/>
  <c r="M54" i="7"/>
  <c r="AH727" i="3"/>
  <c r="D105" i="11"/>
  <c r="F96" i="13"/>
  <c r="C96" i="13"/>
  <c r="R96" i="4"/>
  <c r="C97" i="11"/>
  <c r="B96" i="4"/>
  <c r="R81" i="4"/>
  <c r="F70" i="13"/>
  <c r="B70" i="4"/>
  <c r="C62" i="13"/>
  <c r="C63" i="11"/>
  <c r="D57" i="11"/>
  <c r="F54" i="13"/>
  <c r="B55" i="11"/>
  <c r="C54" i="13"/>
  <c r="B54" i="4"/>
  <c r="D47" i="11"/>
  <c r="B42" i="4"/>
  <c r="C39" i="11"/>
  <c r="B38" i="4"/>
  <c r="D31" i="11"/>
  <c r="N187" i="27"/>
  <c r="D9" i="11"/>
  <c r="C12" i="13"/>
  <c r="AH729" i="3"/>
  <c r="AH728" i="3"/>
  <c r="AH722" i="3"/>
  <c r="AH720" i="3"/>
  <c r="AH723" i="3"/>
  <c r="AH721" i="3"/>
  <c r="AH719" i="3"/>
  <c r="AH724" i="3"/>
  <c r="AH718" i="3"/>
  <c r="AH725" i="3"/>
  <c r="AH726" i="3"/>
  <c r="C63" i="4"/>
  <c r="B63" i="13" s="1"/>
  <c r="AA29" i="7"/>
  <c r="R44" i="21"/>
  <c r="O29" i="7"/>
  <c r="AY1002" i="3"/>
  <c r="I1047" i="3" s="1"/>
  <c r="C798" i="3"/>
  <c r="G40" i="7"/>
  <c r="G41"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1" i="7" s="1"/>
  <c r="S40" i="7"/>
  <c r="S41"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1" i="7" s="1"/>
  <c r="I40" i="7"/>
  <c r="I41" i="7" s="1"/>
  <c r="T30" i="21"/>
  <c r="P43" i="21" a="1"/>
  <c r="P43" i="21" s="1"/>
  <c r="G33" i="7"/>
  <c r="I33" i="7" s="1"/>
  <c r="K33" i="7" s="1"/>
  <c r="M33" i="7" s="1"/>
  <c r="O33" i="7" s="1"/>
  <c r="Q33" i="7" s="1"/>
  <c r="S33" i="7" s="1"/>
  <c r="U33" i="7" s="1"/>
  <c r="W33" i="7" s="1"/>
  <c r="Y33" i="7" s="1"/>
  <c r="AA33" i="7" s="1"/>
  <c r="AC33" i="7" s="1"/>
  <c r="AE33" i="7" s="1"/>
  <c r="AG33" i="7" s="1"/>
  <c r="K40" i="7"/>
  <c r="K41"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1" i="7"/>
  <c r="AC29" i="7"/>
  <c r="M29" i="7"/>
  <c r="Q44" i="21" a="1"/>
  <c r="Q44" i="21" s="1"/>
  <c r="Q40" i="7"/>
  <c r="Q41" i="7" s="1"/>
  <c r="U40" i="7"/>
  <c r="U41" i="7" s="1"/>
  <c r="G29" i="7"/>
  <c r="Q29" i="7"/>
  <c r="O36" i="21"/>
  <c r="AA40" i="7"/>
  <c r="AA41" i="7" s="1"/>
  <c r="Y40" i="7"/>
  <c r="Y41" i="7" s="1"/>
  <c r="M40" i="7"/>
  <c r="M41" i="7" s="1"/>
  <c r="AE29" i="7"/>
  <c r="P36" i="21" a="1"/>
  <c r="P36" i="21" s="1"/>
  <c r="S28" i="21"/>
  <c r="AE40" i="7"/>
  <c r="AE41" i="7" s="1"/>
  <c r="W40" i="7"/>
  <c r="W41" i="7" s="1"/>
  <c r="W29" i="7"/>
  <c r="P40" i="21" a="1"/>
  <c r="P40" i="21" s="1"/>
  <c r="O40" i="7"/>
  <c r="O41"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N193" i="27" l="1"/>
  <c r="D55" i="11"/>
  <c r="D39" i="11"/>
  <c r="D43" i="11"/>
  <c r="D82" i="11"/>
  <c r="AY1004" i="3"/>
  <c r="D63" i="11"/>
  <c r="D97" i="11"/>
  <c r="C64" i="11"/>
  <c r="C98" i="11" s="1"/>
  <c r="C63" i="13"/>
  <c r="C97" i="13" s="1"/>
  <c r="C105" i="13" s="1"/>
  <c r="K54" i="7"/>
  <c r="B63" i="4"/>
  <c r="R30" i="4"/>
  <c r="S30" i="4" s="1"/>
  <c r="E38" i="4"/>
  <c r="E63" i="4" s="1"/>
  <c r="E97" i="4" s="1"/>
  <c r="E105" i="4" s="1"/>
  <c r="O54" i="7"/>
  <c r="B64" i="11"/>
  <c r="B98" i="11" s="1"/>
  <c r="B106" i="11" s="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E27" i="21"/>
  <c r="G22" i="21"/>
  <c r="E30" i="13" l="1"/>
  <c r="F30" i="13" s="1"/>
  <c r="F38" i="13" s="1"/>
  <c r="F63" i="13" s="1"/>
  <c r="F97" i="13" s="1"/>
  <c r="F105" i="13" s="1"/>
  <c r="F107" i="13" s="1"/>
  <c r="T11" i="15" s="1"/>
  <c r="T23" i="15" s="1"/>
  <c r="T26" i="15" s="1"/>
  <c r="S38" i="4"/>
  <c r="R38" i="4"/>
  <c r="R63" i="4" s="1"/>
  <c r="R97" i="4" s="1"/>
  <c r="R105" i="4" s="1"/>
  <c r="D64" i="11"/>
  <c r="Q54" i="7"/>
  <c r="O29" i="21"/>
  <c r="P29" i="21" s="1" a="1"/>
  <c r="P29" i="21" s="1"/>
  <c r="R29"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T28" i="15"/>
  <c r="B105" i="4"/>
  <c r="AC454" i="3" s="1"/>
  <c r="F457" i="3" s="1"/>
  <c r="B97" i="13"/>
  <c r="B97" i="4"/>
  <c r="B105" i="13"/>
  <c r="AG258" i="20"/>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F25" i="21"/>
  <c r="G54" i="21"/>
  <c r="G56" i="21" s="1"/>
  <c r="G58" i="21" s="1"/>
  <c r="E12" i="21" s="1"/>
  <c r="F26" i="21"/>
  <c r="G26" i="21" s="1"/>
  <c r="G45" i="21"/>
  <c r="G47" i="21" s="1"/>
  <c r="G49" i="21" s="1"/>
  <c r="E11" i="21" s="1"/>
  <c r="S63" i="4" l="1"/>
  <c r="E38" i="13"/>
  <c r="H30" i="13"/>
  <c r="T38" i="4"/>
  <c r="S54" i="7"/>
  <c r="N183" i="27"/>
  <c r="N184" i="27" s="1"/>
  <c r="AB47" i="15"/>
  <c r="AB49" i="15" s="1"/>
  <c r="AB54" i="15" s="1"/>
  <c r="AB55" i="15" s="1"/>
  <c r="AB255" i="20"/>
  <c r="AG257" i="20" s="1"/>
  <c r="AG259" i="20" s="1"/>
  <c r="AK262" i="20" s="1"/>
  <c r="T801" i="20" s="1"/>
  <c r="AF801" i="20" s="1"/>
  <c r="G38" i="21"/>
  <c r="G40" i="21" s="1"/>
  <c r="E10" i="21" s="1"/>
  <c r="AP694" i="20"/>
  <c r="AP695" i="20"/>
  <c r="I4" i="7"/>
  <c r="I5" i="7" s="1"/>
  <c r="K9" i="7"/>
  <c r="E11" i="7"/>
  <c r="E37" i="7" s="1"/>
  <c r="E47" i="7" s="1"/>
  <c r="AJ991" i="3"/>
  <c r="AJ1028" i="3" s="1"/>
  <c r="E132" i="20"/>
  <c r="E133" i="20" s="1"/>
  <c r="AK137" i="20" s="1"/>
  <c r="T796" i="20" s="1"/>
  <c r="AF796" i="20" s="1"/>
  <c r="AB990" i="3"/>
  <c r="CS660" i="3"/>
  <c r="U362" i="20" s="1"/>
  <c r="P421" i="3"/>
  <c r="I6" i="7"/>
  <c r="G7" i="7"/>
  <c r="G11" i="7" s="1"/>
  <c r="O15" i="7"/>
  <c r="M9" i="7"/>
  <c r="O8" i="7"/>
  <c r="G25" i="21"/>
  <c r="F24" i="21"/>
  <c r="S97" i="4" l="1"/>
  <c r="E63" i="13"/>
  <c r="AZ846" i="3"/>
  <c r="AZ843" i="3"/>
  <c r="AZ851" i="3" s="1"/>
  <c r="H38" i="13"/>
  <c r="T63" i="4"/>
  <c r="AJ1044" i="3"/>
  <c r="AP541" i="20" s="1"/>
  <c r="AJ1006" i="3"/>
  <c r="AJ1035" i="3"/>
  <c r="I14" i="21" s="1"/>
  <c r="G16" i="7"/>
  <c r="G22" i="7" s="1"/>
  <c r="G35" i="7" s="1"/>
  <c r="G37" i="7" s="1"/>
  <c r="U54" i="7"/>
  <c r="B1059" i="3"/>
  <c r="AJ1048" i="3"/>
  <c r="AP542" i="20" s="1"/>
  <c r="N194" i="27"/>
  <c r="AP539" i="20"/>
  <c r="K4" i="7"/>
  <c r="M4" i="7" s="1"/>
  <c r="E43" i="7"/>
  <c r="E46" i="7" s="1"/>
  <c r="K6" i="7"/>
  <c r="I7" i="7"/>
  <c r="I11" i="7" s="1"/>
  <c r="I16" i="7" s="1"/>
  <c r="G24" i="21"/>
  <c r="F27" i="21"/>
  <c r="G27" i="21"/>
  <c r="Q15" i="7"/>
  <c r="O9" i="7"/>
  <c r="Q8" i="7"/>
  <c r="S105" i="4" l="1"/>
  <c r="E97" i="13"/>
  <c r="T97" i="4"/>
  <c r="H63" i="13"/>
  <c r="G47" i="7"/>
  <c r="G43" i="7"/>
  <c r="G46" i="7" s="1"/>
  <c r="I22" i="7"/>
  <c r="I35" i="7" s="1"/>
  <c r="I37" i="7" s="1"/>
  <c r="W54" i="7"/>
  <c r="AJ1052" i="3"/>
  <c r="T24" i="15" s="1"/>
  <c r="AP543" i="20"/>
  <c r="K5" i="7"/>
  <c r="E45" i="7"/>
  <c r="E56" i="7"/>
  <c r="E58" i="7" s="1"/>
  <c r="O4" i="7"/>
  <c r="M5" i="7"/>
  <c r="M6" i="7"/>
  <c r="K7" i="7"/>
  <c r="S15" i="7"/>
  <c r="G95" i="21"/>
  <c r="G96" i="21" s="1"/>
  <c r="G29" i="21"/>
  <c r="G31" i="21" s="1"/>
  <c r="E9" i="21" s="1"/>
  <c r="G104" i="21"/>
  <c r="G106" i="21" s="1"/>
  <c r="G79" i="21"/>
  <c r="G64" i="21"/>
  <c r="Q9" i="7"/>
  <c r="S8" i="7"/>
  <c r="E105" i="13" l="1"/>
  <c r="S107" i="4"/>
  <c r="E107" i="13" s="1"/>
  <c r="Y11" i="15" s="1"/>
  <c r="Y23" i="15" s="1"/>
  <c r="Y26" i="15" s="1"/>
  <c r="Y28" i="15" s="1"/>
  <c r="Y64" i="15" s="1"/>
  <c r="Y68" i="15" s="1"/>
  <c r="T105" i="4"/>
  <c r="H97" i="13"/>
  <c r="G56" i="7"/>
  <c r="G58" i="7" s="1"/>
  <c r="G45" i="7"/>
  <c r="I43" i="7"/>
  <c r="I45" i="7" s="1"/>
  <c r="I47" i="7"/>
  <c r="Y54" i="7"/>
  <c r="AP546" i="20"/>
  <c r="AP545" i="20" s="1"/>
  <c r="AP548" i="20" s="1"/>
  <c r="AF541" i="20" s="1"/>
  <c r="K11" i="7"/>
  <c r="O5" i="7"/>
  <c r="Q4" i="7"/>
  <c r="M7" i="7"/>
  <c r="M11" i="7" s="1"/>
  <c r="O6" i="7"/>
  <c r="G69" i="21"/>
  <c r="G81" i="21"/>
  <c r="G65" i="21"/>
  <c r="U15" i="7"/>
  <c r="E14" i="21"/>
  <c r="E15" i="21" s="1"/>
  <c r="U8" i="7"/>
  <c r="S9" i="7"/>
  <c r="I46" i="7" l="1"/>
  <c r="H105" i="13"/>
  <c r="T107" i="4"/>
  <c r="I56" i="7"/>
  <c r="I58" i="7" s="1"/>
  <c r="M16" i="7"/>
  <c r="M22" i="7" s="1"/>
  <c r="M35" i="7" s="1"/>
  <c r="M37" i="7" s="1"/>
  <c r="K16" i="7"/>
  <c r="K22" i="7" s="1"/>
  <c r="K35" i="7" s="1"/>
  <c r="K37" i="7" s="1"/>
  <c r="AA54" i="7"/>
  <c r="E64" i="7"/>
  <c r="E66" i="7" s="1"/>
  <c r="S4" i="7"/>
  <c r="Q5" i="7"/>
  <c r="G64" i="7"/>
  <c r="G66" i="7" s="1"/>
  <c r="O7" i="7"/>
  <c r="O11" i="7" s="1"/>
  <c r="Q6" i="7"/>
  <c r="W15" i="7"/>
  <c r="G83" i="21"/>
  <c r="E13" i="21" s="1"/>
  <c r="E16" i="21" s="1"/>
  <c r="H3" i="21" s="1"/>
  <c r="U9" i="7"/>
  <c r="W8" i="7"/>
  <c r="H107" i="13" l="1"/>
  <c r="AF540" i="20"/>
  <c r="AF542" i="20" s="1"/>
  <c r="AK548" i="20" s="1"/>
  <c r="T807" i="20" s="1"/>
  <c r="AF807" i="20" s="1"/>
  <c r="AC456" i="3"/>
  <c r="K43" i="7"/>
  <c r="K47" i="7"/>
  <c r="M43" i="7"/>
  <c r="M46" i="7" s="1"/>
  <c r="M47" i="7"/>
  <c r="O16" i="7"/>
  <c r="O22" i="7" s="1"/>
  <c r="O35" i="7" s="1"/>
  <c r="O37" i="7" s="1"/>
  <c r="AC54" i="7"/>
  <c r="U4" i="7"/>
  <c r="S5" i="7"/>
  <c r="Q7" i="7"/>
  <c r="Q11" i="7" s="1"/>
  <c r="S6" i="7"/>
  <c r="I64" i="7"/>
  <c r="I66" i="7" s="1"/>
  <c r="Y15" i="7"/>
  <c r="W9" i="7"/>
  <c r="Y8" i="7"/>
  <c r="AD11" i="15" l="1"/>
  <c r="AD23" i="15" s="1"/>
  <c r="AI11" i="15"/>
  <c r="AI23" i="15" s="1"/>
  <c r="AI26" i="15" s="1"/>
  <c r="AI28" i="15" s="1"/>
  <c r="O47" i="7"/>
  <c r="O43" i="7"/>
  <c r="O56" i="7" s="1"/>
  <c r="Q16" i="7"/>
  <c r="Q22" i="7" s="1"/>
  <c r="Q35" i="7" s="1"/>
  <c r="Q37" i="7" s="1"/>
  <c r="M56" i="7"/>
  <c r="M58" i="7" s="1"/>
  <c r="M45" i="7"/>
  <c r="K45" i="7"/>
  <c r="K56" i="7"/>
  <c r="K58" i="7" s="1"/>
  <c r="K46" i="7"/>
  <c r="AG54" i="7"/>
  <c r="AE54" i="7"/>
  <c r="U5" i="7"/>
  <c r="W4" i="7"/>
  <c r="K64" i="7"/>
  <c r="S7" i="7"/>
  <c r="S11" i="7" s="1"/>
  <c r="U6" i="7"/>
  <c r="AA15" i="7"/>
  <c r="Y9" i="7"/>
  <c r="AA8" i="7"/>
  <c r="AD26" i="15" l="1"/>
  <c r="AD28" i="15" s="1"/>
  <c r="T29" i="15" s="1"/>
  <c r="Y38" i="15"/>
  <c r="Y40" i="15" s="1"/>
  <c r="AD38" i="15"/>
  <c r="AD40" i="15" s="1"/>
  <c r="O46" i="7"/>
  <c r="O45" i="7"/>
  <c r="Q47" i="7"/>
  <c r="Q43" i="7"/>
  <c r="Q45" i="7" s="1"/>
  <c r="S16" i="7"/>
  <c r="S22" i="7" s="1"/>
  <c r="S35" i="7" s="1"/>
  <c r="S37" i="7" s="1"/>
  <c r="K66" i="7"/>
  <c r="M64" i="7"/>
  <c r="M66" i="7" s="1"/>
  <c r="W5" i="7"/>
  <c r="Y4" i="7"/>
  <c r="U7" i="7"/>
  <c r="U11" i="7" s="1"/>
  <c r="W6" i="7"/>
  <c r="O58" i="7"/>
  <c r="AC15" i="7"/>
  <c r="AC8" i="7"/>
  <c r="AA9" i="7"/>
  <c r="Q56" i="7" l="1"/>
  <c r="Q58" i="7" s="1"/>
  <c r="Y41" i="15"/>
  <c r="AB56" i="15" s="1"/>
  <c r="Q46" i="7"/>
  <c r="S47" i="7"/>
  <c r="S43" i="7"/>
  <c r="S46" i="7" s="1"/>
  <c r="U16" i="7"/>
  <c r="U22" i="7" s="1"/>
  <c r="U35" i="7" s="1"/>
  <c r="U37" i="7" s="1"/>
  <c r="AA4" i="7"/>
  <c r="Y5" i="7"/>
  <c r="Y6" i="7"/>
  <c r="W7" i="7"/>
  <c r="W11" i="7" s="1"/>
  <c r="O64" i="7"/>
  <c r="O66" i="7" s="1"/>
  <c r="AE15" i="7"/>
  <c r="AC9" i="7"/>
  <c r="AE8" i="7"/>
  <c r="M26" i="3" l="1"/>
  <c r="P204" i="3" s="1"/>
  <c r="AB57" i="15"/>
  <c r="S56" i="7"/>
  <c r="S58" i="7" s="1"/>
  <c r="S45" i="7"/>
  <c r="U43" i="7"/>
  <c r="U56" i="7" s="1"/>
  <c r="U47" i="7"/>
  <c r="W16" i="7"/>
  <c r="W22" i="7" s="1"/>
  <c r="W35" i="7" s="1"/>
  <c r="W37" i="7" s="1"/>
  <c r="AA5" i="7"/>
  <c r="AC4" i="7"/>
  <c r="Q64" i="7"/>
  <c r="Q66" i="7" s="1"/>
  <c r="Y7" i="7"/>
  <c r="Y11" i="7" s="1"/>
  <c r="AA6" i="7"/>
  <c r="AG15" i="7"/>
  <c r="AE9" i="7"/>
  <c r="AG8" i="7"/>
  <c r="AG9" i="7" s="1"/>
  <c r="AB59" i="15" l="1"/>
  <c r="AB76" i="15" s="1"/>
  <c r="AB77" i="15" s="1"/>
  <c r="U46" i="7"/>
  <c r="U45" i="7"/>
  <c r="W43" i="7"/>
  <c r="W46" i="7" s="1"/>
  <c r="W47" i="7"/>
  <c r="Y16" i="7"/>
  <c r="Y22" i="7" s="1"/>
  <c r="Y35" i="7" s="1"/>
  <c r="Y37" i="7" s="1"/>
  <c r="S64" i="7"/>
  <c r="S66" i="7" s="1"/>
  <c r="AC5" i="7"/>
  <c r="AE4" i="7"/>
  <c r="AC6" i="7"/>
  <c r="AA7" i="7"/>
  <c r="AA11" i="7" s="1"/>
  <c r="U58" i="7"/>
  <c r="AB78" i="15" l="1"/>
  <c r="AB80" i="15" s="1"/>
  <c r="J81" i="15" s="1"/>
  <c r="M27" i="3"/>
  <c r="P205" i="3" s="1"/>
  <c r="I10" i="21"/>
  <c r="I11" i="21" s="1"/>
  <c r="I16" i="21" s="1"/>
  <c r="H4" i="21" s="1"/>
  <c r="H5" i="21" s="1"/>
  <c r="W56" i="7"/>
  <c r="W45" i="7"/>
  <c r="Y43" i="7"/>
  <c r="Y45" i="7" s="1"/>
  <c r="Y47" i="7"/>
  <c r="AA16" i="7"/>
  <c r="AA22" i="7" s="1"/>
  <c r="AA35" i="7" s="1"/>
  <c r="AA37" i="7" s="1"/>
  <c r="AE5" i="7"/>
  <c r="AG4" i="7"/>
  <c r="AG5" i="7" s="1"/>
  <c r="U64" i="7"/>
  <c r="U66" i="7" s="1"/>
  <c r="W58" i="7"/>
  <c r="AE6" i="7"/>
  <c r="AC7" i="7"/>
  <c r="AC11" i="7" s="1"/>
  <c r="Y56" i="7" l="1"/>
  <c r="Y46" i="7"/>
  <c r="AA47" i="7"/>
  <c r="AA43" i="7"/>
  <c r="AA56" i="7" s="1"/>
  <c r="AC16" i="7"/>
  <c r="AC22" i="7" s="1"/>
  <c r="AC35" i="7" s="1"/>
  <c r="AC37" i="7" s="1"/>
  <c r="W64" i="7"/>
  <c r="W66" i="7" s="1"/>
  <c r="AE7" i="7"/>
  <c r="AE11" i="7" s="1"/>
  <c r="AG6" i="7"/>
  <c r="Y58" i="7"/>
  <c r="AA46" i="7" l="1"/>
  <c r="AA45" i="7"/>
  <c r="AC43" i="7"/>
  <c r="AC45" i="7" s="1"/>
  <c r="AC47" i="7"/>
  <c r="AE16" i="7"/>
  <c r="AE22" i="7" s="1"/>
  <c r="AE35" i="7" s="1"/>
  <c r="AE37" i="7" s="1"/>
  <c r="Y64" i="7"/>
  <c r="Y66" i="7" s="1"/>
  <c r="AG7" i="7"/>
  <c r="AG11" i="7" s="1"/>
  <c r="AA58" i="7"/>
  <c r="AC56" i="7" l="1"/>
  <c r="AC58" i="7" s="1"/>
  <c r="AC46" i="7"/>
  <c r="AE47" i="7"/>
  <c r="AE43" i="7"/>
  <c r="AE45" i="7" s="1"/>
  <c r="AG16" i="7"/>
  <c r="AG22" i="7" s="1"/>
  <c r="AG35" i="7" s="1"/>
  <c r="AG37" i="7" s="1"/>
  <c r="AA64" i="7"/>
  <c r="AA66" i="7" s="1"/>
  <c r="AE56" i="7" l="1"/>
  <c r="AE58" i="7" s="1"/>
  <c r="AE46" i="7"/>
  <c r="AG43" i="7"/>
  <c r="AG56" i="7" s="1"/>
  <c r="AG47" i="7"/>
  <c r="AC64" i="7"/>
  <c r="AC66" i="7" s="1"/>
  <c r="AG46" i="7" l="1"/>
  <c r="AG45" i="7"/>
  <c r="AE64" i="7"/>
  <c r="AE66" i="7" s="1"/>
  <c r="AG66" i="7" l="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tc={65ECE631-39E9-40EB-AE7B-71FA5F83FBBC}</author>
    <author>tc={C3C513B7-9DB6-45FF-9DB9-50BC29B3904E}</author>
  </authors>
  <commentList>
    <comment ref="F115" authorId="0" shapeId="0" xr:uid="{65ECE631-39E9-40EB-AE7B-71FA5F83FBBC}">
      <text>
        <t>[Threaded comment]
Your version of Excel allows you to read this threaded comment; however, any edits to it will get removed if the file is opened in a newer version of Excel. Learn more: https://go.microsoft.com/fwlink/?linkid=870924
Comment:
    WSH Management</t>
      </text>
    </comment>
    <comment ref="G207" authorId="1" shapeId="0" xr:uid="{C3C513B7-9DB6-45FF-9DB9-50BC29B3904E}">
      <text>
        <t>[Threaded comment]
Your version of Excel allows you to read this threaded comment; however, any edits to it will get removed if the file is opened in a newer version of Excel. Learn more: https://go.microsoft.com/fwlink/?linkid=870924
Comment:
    MAKE SURE THIS MATCHES COMMITMENT LETTER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8" authorId="0" shapeId="0" xr:uid="{00000000-0006-0000-0C00-000001000000}">
      <text>
        <r>
          <rPr>
            <sz val="9"/>
            <color indexed="81"/>
            <rFont val="Tahoma"/>
            <family val="2"/>
          </rPr>
          <t>INSERT PERCENTAGE SHARE OF RESIDUAL RECEIPTS CASH FLOW</t>
        </r>
      </text>
    </comment>
    <comment ref="C61"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<sst xmlns="http://schemas.openxmlformats.org/spreadsheetml/2006/main" count="5312" uniqueCount="2787">
  <si>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</si>
  <si>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</si>
  <si>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</si>
  <si>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</si>
  <si>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</si>
  <si>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</si>
  <si>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</si>
  <si>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</si>
  <si>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</si>
  <si>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</si>
  <si>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</si>
  <si>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</si>
  <si>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</si>
  <si>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</si>
  <si>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</si>
  <si>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</si>
  <si>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</si>
  <si>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</si>
  <si>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</si>
  <si>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</si>
  <si>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</si>
  <si>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</si>
  <si>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</si>
  <si>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</si>
  <si>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</si>
  <si>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</si>
  <si>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</si>
  <si>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</si>
  <si>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</si>
  <si>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</si>
  <si>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</si>
  <si>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</si>
  <si>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</si>
  <si>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</si>
  <si>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</si>
  <si>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</si>
  <si>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</si>
  <si>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</si>
  <si>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</si>
  <si>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</si>
  <si>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</si>
  <si>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</si>
  <si>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</si>
  <si>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</si>
  <si>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</si>
  <si>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</si>
  <si>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</si>
  <si>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</si>
  <si>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</si>
  <si>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</si>
  <si>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</si>
  <si>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</si>
  <si>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</si>
  <si>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</si>
  <si>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</si>
  <si>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</si>
  <si>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</si>
  <si>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</si>
  <si>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</si>
  <si>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</si>
  <si>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</si>
  <si>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</si>
  <si>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</si>
  <si>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</si>
  <si>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</si>
  <si>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</si>
  <si>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</si>
  <si>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</si>
  <si>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</si>
  <si>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</si>
  <si>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</si>
  <si>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</si>
  <si>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</si>
  <si>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</si>
  <si>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</si>
  <si>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</si>
  <si>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</si>
  <si>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</si>
  <si>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</si>
  <si>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</si>
  <si>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</si>
  <si>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</si>
  <si>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</si>
  <si>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</si>
  <si>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</si>
  <si>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</si>
  <si>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</si>
  <si>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</si>
  <si>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</si>
  <si>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</si>
  <si>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</si>
  <si>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</si>
  <si>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</si>
  <si>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</si>
  <si>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</si>
  <si>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</si>
  <si>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</si>
  <si>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</si>
  <si>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</si>
  <si>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</si>
  <si>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</si>
  <si>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</si>
  <si>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</si>
  <si>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</si>
  <si>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</si>
  <si>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</si>
  <si>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</si>
  <si>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</si>
  <si>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</si>
  <si>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</si>
  <si>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</si>
  <si>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</si>
  <si>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</si>
  <si>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</si>
  <si>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</si>
  <si>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</si>
  <si>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</si>
  <si>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</si>
  <si>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</si>
  <si>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</si>
  <si>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</si>
  <si>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</si>
  <si>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</si>
  <si>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</si>
  <si>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</si>
  <si>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</si>
  <si>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</si>
  <si>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</si>
  <si>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</si>
  <si>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</si>
  <si>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</si>
  <si>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</si>
  <si>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</si>
  <si>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</si>
  <si>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</si>
  <si>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</si>
  <si>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</si>
  <si>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</si>
  <si>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</si>
  <si>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</si>
  <si>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</si>
  <si>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</si>
  <si>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</si>
  <si>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</si>
  <si>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</si>
  <si>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</si>
  <si>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</si>
  <si>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</si>
  <si>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</si>
  <si>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</si>
  <si>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</si>
  <si>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</si>
  <si>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</si>
  <si>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</si>
  <si>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</si>
  <si>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</si>
  <si>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</si>
  <si>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</si>
  <si>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</si>
  <si>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</si>
  <si>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</si>
  <si>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</si>
  <si>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</si>
  <si>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</si>
  <si>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</si>
  <si>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</si>
  <si>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</si>
  <si>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</si>
  <si>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</si>
  <si>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</si>
  <si>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</si>
  <si>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</si>
  <si>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</si>
  <si>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</si>
  <si>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</si>
  <si>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</si>
  <si>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</si>
  <si>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</si>
  <si>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</si>
  <si>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</si>
  <si>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</si>
  <si>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</si>
  <si>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</si>
  <si>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</si>
  <si>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</si>
  <si>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</si>
  <si>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</si>
  <si>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</si>
  <si>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</si>
  <si>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</si>
  <si>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</si>
  <si>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</si>
  <si>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</si>
  <si>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</si>
  <si>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</si>
  <si>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</si>
  <si>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</si>
  <si>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</si>
  <si>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</si>
  <si>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</si>
  <si>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</si>
  <si>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</si>
  <si>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</si>
  <si>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</si>
  <si>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</si>
  <si>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</si>
  <si>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</si>
  <si>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</si>
  <si>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</si>
  <si>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</si>
  <si>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</si>
  <si>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</si>
  <si>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</si>
  <si>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</si>
  <si>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</si>
  <si>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</si>
  <si>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</si>
  <si>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</si>
  <si>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</si>
  <si>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</si>
  <si>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</si>
  <si>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</si>
  <si>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</si>
  <si>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</si>
  <si>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</si>
  <si>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</si>
  <si>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</si>
  <si>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</si>
  <si>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</si>
  <si>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</si>
  <si>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</si>
  <si>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</si>
  <si>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</si>
  <si>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</si>
  <si>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</si>
  <si>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</si>
  <si>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</si>
  <si>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</si>
  <si>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</si>
  <si>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</si>
  <si>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</si>
  <si>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</si>
  <si>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</si>
  <si>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</si>
  <si>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</si>
  <si>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</si>
  <si>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</si>
  <si>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</si>
  <si>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</si>
  <si>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</si>
  <si>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</si>
  <si>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</si>
  <si>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</si>
  <si>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</si>
  <si>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</si>
  <si>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</si>
  <si>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</si>
  <si>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</si>
  <si>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</si>
  <si>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</si>
  <si>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</si>
  <si>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</si>
  <si>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</si>
  <si>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</si>
  <si>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</si>
  <si>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</si>
  <si>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</si>
  <si>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</si>
  <si>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</si>
  <si>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</si>
  <si>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</si>
  <si>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</si>
  <si>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</si>
  <si>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</si>
  <si>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</si>
  <si>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</si>
  <si>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</si>
  <si>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</si>
  <si>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</si>
  <si>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</si>
  <si>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</si>
  <si>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</si>
  <si>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</si>
  <si>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</si>
  <si>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</si>
  <si>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</si>
  <si>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</si>
  <si>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</si>
  <si>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</si>
  <si>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</si>
  <si>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</si>
  <si>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</si>
  <si>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</si>
  <si>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</si>
  <si>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</si>
  <si>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</si>
  <si>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</si>
  <si>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</si>
  <si>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</si>
  <si>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</si>
  <si>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</si>
  <si>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</si>
  <si>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</si>
  <si>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</si>
  <si>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</si>
  <si>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</si>
  <si>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</si>
  <si>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</si>
  <si>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</si>
  <si>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</si>
  <si>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</si>
  <si>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</si>
  <si>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</si>
  <si>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</si>
  <si>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</si>
  <si>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</si>
  <si>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</si>
  <si>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</si>
  <si>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</si>
  <si>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</si>
  <si>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</si>
  <si>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</si>
  <si>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</si>
  <si>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</si>
  <si>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</si>
  <si>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</si>
  <si>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</si>
  <si>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</si>
  <si>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</si>
  <si>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</si>
  <si>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</si>
  <si>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</si>
  <si>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</si>
  <si>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</si>
  <si>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</si>
  <si>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</si>
  <si>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</si>
  <si>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</si>
  <si>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</si>
  <si>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</si>
  <si>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</si>
  <si>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</si>
  <si>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</si>
  <si>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</si>
  <si>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</si>
  <si>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</si>
  <si>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</si>
  <si>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</si>
  <si>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</si>
  <si>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</si>
  <si>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</si>
  <si>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</si>
  <si>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</si>
  <si>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</si>
  <si>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</si>
  <si>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</si>
  <si>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</si>
  <si>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</si>
  <si>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</si>
  <si>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</si>
  <si>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</si>
  <si>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</si>
  <si>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</si>
  <si>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</si>
  <si>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</si>
  <si>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</si>
  <si>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</si>
  <si>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</si>
  <si>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</si>
  <si>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</si>
  <si>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</si>
  <si>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</si>
  <si>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</si>
  <si>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</si>
  <si>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</si>
  <si>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</si>
  <si>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</si>
  <si>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</si>
  <si>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</si>
  <si>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</si>
  <si>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</si>
  <si>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</si>
  <si>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</si>
  <si>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</si>
  <si>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</si>
  <si>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</si>
  <si>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</si>
  <si>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</si>
  <si>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</si>
  <si>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</si>
  <si>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</si>
  <si>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</si>
  <si>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</si>
  <si>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</si>
  <si>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</si>
  <si>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</si>
  <si>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</si>
  <si>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</si>
  <si>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</si>
  <si>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</si>
  <si>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</si>
  <si>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</si>
  <si>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</si>
  <si>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</si>
  <si>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</si>
  <si>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</si>
  <si>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</si>
  <si>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</si>
  <si>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</si>
  <si>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</si>
  <si>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</si>
  <si>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</si>
  <si>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</si>
  <si>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</si>
  <si>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</si>
  <si>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</si>
  <si>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</si>
  <si>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</si>
  <si>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</si>
  <si>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</si>
  <si>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</si>
  <si>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</si>
  <si>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</si>
  <si>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</si>
  <si>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</si>
  <si>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</si>
  <si>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</si>
  <si>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</si>
  <si>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</si>
  <si>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</si>
  <si>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</si>
  <si>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</si>
  <si>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</si>
  <si>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</si>
  <si>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</si>
  <si>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</si>
  <si>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</si>
  <si>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</si>
  <si>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</si>
  <si>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</si>
  <si>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</si>
  <si>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</si>
  <si>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</si>
  <si>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</si>
  <si>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</si>
  <si>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</si>
  <si>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</si>
  <si>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</si>
  <si>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</si>
  <si>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</si>
  <si>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</si>
  <si>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</si>
  <si>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</si>
  <si>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</si>
  <si>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</si>
  <si>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</si>
  <si>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</si>
  <si>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</si>
  <si>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</si>
  <si>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</si>
  <si>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</si>
  <si>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</si>
  <si>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</si>
  <si>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</si>
  <si>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</si>
  <si>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</si>
  <si>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</si>
  <si>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</si>
  <si>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</si>
  <si>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</si>
  <si>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</si>
  <si>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</si>
  <si>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</si>
  <si>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</si>
  <si>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</si>
  <si>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</si>
  <si>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</si>
  <si>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</si>
  <si>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</si>
  <si>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</si>
  <si>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</si>
  <si>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</si>
  <si>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</si>
  <si>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</si>
  <si>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</si>
  <si>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</si>
  <si>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</si>
  <si>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</si>
  <si>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</si>
  <si>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</si>
  <si>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</si>
  <si>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</si>
  <si>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</si>
  <si>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</si>
  <si>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</si>
  <si>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</si>
  <si>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</si>
  <si>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</si>
  <si>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</si>
  <si>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</si>
  <si>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</si>
  <si>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</si>
  <si>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</si>
  <si>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</si>
  <si>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</si>
  <si>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</si>
  <si>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</si>
  <si>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</si>
  <si>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</si>
  <si>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</si>
  <si>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</si>
  <si>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</si>
  <si>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</si>
  <si>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</si>
  <si>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</si>
  <si>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</si>
  <si>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</si>
  <si>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</si>
  <si>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</si>
  <si>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</si>
  <si>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</si>
  <si>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</si>
  <si>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</si>
  <si>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</si>
  <si>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</si>
  <si>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</si>
  <si>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</si>
  <si>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</si>
  <si>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</si>
  <si>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</si>
  <si>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</si>
  <si>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</si>
  <si>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</si>
  <si>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</si>
  <si>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</si>
  <si>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</si>
  <si>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</si>
  <si>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</si>
  <si>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</si>
  <si>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</si>
  <si>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</si>
  <si>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</si>
  <si>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</si>
  <si>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</si>
  <si>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</si>
  <si>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</si>
  <si>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</si>
  <si>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</si>
  <si>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</si>
  <si>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</si>
  <si>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</si>
  <si>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</si>
  <si>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</si>
  <si>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</si>
  <si>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</si>
  <si>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</si>
  <si>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</si>
  <si>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</si>
  <si>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</si>
  <si>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</si>
  <si>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</si>
  <si>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</si>
  <si>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</si>
  <si>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</si>
  <si>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</si>
  <si>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</si>
  <si>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</si>
  <si>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</si>
  <si>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</si>
  <si>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</si>
  <si>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</si>
  <si>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</si>
  <si>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</si>
  <si>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</si>
  <si>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</si>
  <si>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</si>
  <si>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</si>
  <si>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</si>
  <si>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</si>
  <si>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</si>
  <si>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</si>
  <si>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</si>
  <si>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</si>
  <si>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</si>
  <si>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</si>
  <si>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</si>
  <si>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</si>
  <si>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</si>
  <si>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</si>
  <si>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</si>
  <si>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</si>
  <si>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</si>
  <si>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</si>
  <si>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</si>
  <si>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</si>
  <si>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</si>
  <si>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</si>
  <si>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</si>
  <si>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</si>
  <si>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</si>
  <si>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</si>
  <si>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</si>
  <si>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</si>
  <si>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</si>
  <si>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</si>
  <si>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</si>
  <si>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</si>
  <si>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</si>
  <si>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</si>
  <si>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</si>
  <si>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</si>
  <si>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</si>
  <si>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</si>
  <si>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</si>
  <si>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</si>
  <si>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</si>
  <si>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</si>
  <si>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</si>
  <si>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</si>
  <si>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</si>
  <si>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</si>
  <si>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</si>
  <si>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</si>
  <si>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</si>
  <si>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</si>
  <si>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</si>
  <si>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</si>
  <si>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</si>
  <si>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</si>
  <si>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</si>
  <si>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</si>
  <si>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</si>
  <si>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</si>
  <si>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</si>
  <si>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</si>
  <si>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</si>
  <si>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</si>
  <si>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</si>
  <si>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</si>
  <si>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</si>
  <si>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</si>
  <si>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</si>
  <si>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</si>
  <si>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</si>
  <si>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</si>
  <si>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</si>
  <si>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</si>
  <si>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</si>
  <si>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</si>
  <si>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</si>
  <si>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</si>
  <si>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</si>
  <si>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</si>
  <si>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</si>
  <si>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</si>
  <si>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</si>
  <si>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</si>
  <si>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</si>
  <si>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</si>
  <si>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</si>
  <si>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</si>
  <si>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</si>
  <si>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</si>
  <si>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</si>
  <si>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</si>
  <si>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</si>
  <si>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</si>
  <si>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</si>
  <si>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</si>
  <si>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</si>
  <si>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</si>
  <si>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</si>
  <si>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</si>
  <si>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</si>
  <si>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</si>
  <si>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</si>
  <si>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</si>
  <si>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</si>
  <si>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</si>
  <si>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</si>
  <si>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</si>
  <si>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</si>
  <si>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</si>
  <si>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</si>
  <si>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</si>
  <si>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</si>
  <si>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</si>
  <si>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</si>
  <si>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</si>
  <si>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</si>
  <si>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</si>
  <si>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</si>
  <si>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</si>
  <si>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</si>
  <si>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</si>
  <si>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</si>
  <si>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</si>
  <si>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</si>
  <si>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</si>
  <si>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</si>
  <si>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</si>
  <si>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</si>
  <si>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</si>
  <si>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</si>
  <si>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</si>
  <si>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</si>
  <si>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</si>
  <si>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</si>
  <si>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</si>
  <si>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</si>
  <si>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</si>
  <si>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</si>
  <si>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</si>
  <si>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</si>
  <si>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</si>
  <si>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</si>
  <si>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</si>
  <si>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</si>
  <si>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</si>
  <si>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</si>
  <si>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</si>
  <si>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</si>
  <si>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</si>
  <si>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</si>
  <si>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</si>
  <si>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</si>
  <si>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</si>
  <si>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</si>
  <si>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</si>
  <si>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</si>
  <si>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</si>
  <si>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</si>
  <si>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</si>
  <si>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</si>
  <si>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</si>
  <si>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</si>
  <si>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</si>
  <si>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</si>
  <si>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</si>
  <si>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</si>
  <si>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</si>
  <si>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</si>
  <si>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</si>
  <si>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</si>
  <si>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</si>
  <si>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</si>
  <si>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</si>
  <si>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</si>
  <si>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</si>
  <si>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</si>
  <si>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</si>
  <si>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</si>
  <si>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</si>
  <si>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</si>
  <si>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</si>
  <si>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</si>
  <si>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</si>
  <si>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</si>
  <si>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</si>
  <si>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</si>
  <si>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</si>
  <si>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</si>
  <si>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</si>
  <si>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</si>
  <si>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</si>
  <si>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</si>
  <si>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</si>
  <si>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</si>
  <si>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</si>
  <si>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</si>
  <si>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</si>
  <si>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</si>
  <si>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</si>
  <si>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</si>
  <si>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</si>
  <si>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</si>
  <si>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</si>
  <si>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</si>
  <si>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</si>
  <si>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</si>
  <si>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</si>
  <si>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</si>
  <si>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</si>
  <si>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</si>
  <si>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</si>
  <si>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</si>
  <si>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</si>
  <si>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</si>
  <si>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</si>
  <si>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</si>
  <si>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</si>
  <si>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</si>
  <si>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</si>
  <si>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</si>
  <si>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</si>
  <si>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</si>
  <si>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</si>
  <si>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</si>
  <si>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</si>
  <si>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</si>
  <si>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</si>
  <si>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</si>
  <si>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</si>
  <si>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</si>
  <si>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</si>
  <si>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</si>
  <si>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</si>
  <si>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</si>
  <si>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</si>
  <si>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</si>
  <si>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</si>
  <si>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</si>
  <si>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</si>
  <si>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</si>
  <si>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</si>
  <si>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</si>
  <si>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</si>
  <si>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</si>
  <si>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</si>
  <si>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</si>
  <si>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</si>
  <si>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</si>
  <si>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</si>
  <si>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</si>
  <si>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</si>
  <si>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</si>
  <si>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</si>
  <si>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</si>
  <si>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</si>
  <si>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</si>
  <si>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</si>
  <si>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</si>
  <si>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</si>
  <si>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</si>
  <si>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</si>
  <si>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</si>
  <si>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</si>
  <si>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</si>
  <si>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</si>
  <si>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</si>
  <si>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</si>
  <si>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</si>
  <si>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</si>
  <si>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</si>
  <si>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</si>
  <si>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</si>
  <si>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</si>
  <si>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</si>
  <si>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</si>
  <si>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</si>
  <si>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</si>
  <si>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</si>
  <si>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</si>
  <si>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</si>
  <si>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</si>
  <si>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</si>
  <si>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</si>
  <si>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</si>
  <si>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</si>
  <si>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</si>
  <si>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</si>
  <si>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</si>
  <si>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</si>
  <si>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</si>
  <si>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</si>
  <si>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</si>
  <si>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</si>
  <si>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</si>
  <si>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</si>
  <si>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</si>
  <si>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</si>
  <si>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</si>
  <si>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</si>
  <si>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</si>
  <si>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</si>
  <si>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</si>
  <si>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</si>
  <si>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</si>
  <si>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</si>
  <si>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</si>
  <si>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</si>
  <si>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</si>
  <si>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</si>
  <si>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</si>
  <si>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</si>
  <si>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</si>
  <si>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</si>
  <si>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</si>
  <si>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</si>
  <si>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</si>
  <si>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</si>
  <si>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</si>
  <si>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</si>
  <si>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</si>
  <si>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</si>
  <si>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</si>
  <si>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</si>
  <si>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</si>
  <si>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</si>
  <si>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</si>
  <si>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</si>
  <si>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</si>
  <si>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</si>
  <si>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</si>
  <si>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</si>
  <si>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</si>
  <si>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</si>
  <si>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</si>
  <si>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</si>
  <si>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</si>
  <si>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</si>
  <si>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</si>
  <si>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</si>
  <si>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</si>
  <si>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</si>
  <si>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</si>
  <si>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</si>
  <si>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</si>
  <si>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</si>
  <si>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</si>
  <si>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</si>
  <si>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</si>
  <si>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</si>
  <si>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</si>
  <si>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</si>
  <si>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</si>
  <si>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</si>
  <si>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</si>
  <si>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</si>
  <si>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</si>
  <si>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</si>
  <si>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</si>
  <si>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</si>
  <si>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</si>
  <si>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</si>
  <si>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</si>
  <si>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</si>
  <si>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</si>
  <si>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</si>
  <si>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</si>
  <si>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</si>
  <si>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</si>
  <si>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</si>
  <si>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</si>
  <si>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</si>
  <si>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</si>
  <si>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</si>
  <si>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</si>
  <si>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</si>
  <si>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</si>
  <si>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</si>
  <si>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</si>
  <si>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</si>
  <si>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</si>
  <si>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</si>
  <si>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</si>
  <si>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</si>
  <si>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</si>
  <si>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</si>
  <si>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</si>
  <si>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</si>
  <si>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</si>
  <si>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</si>
  <si>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</si>
  <si>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</si>
  <si>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</si>
  <si>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</si>
  <si>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</si>
  <si>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</si>
  <si>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</si>
  <si>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</si>
  <si>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</si>
  <si>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</si>
  <si>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</si>
  <si>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</si>
  <si>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</si>
  <si>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</si>
  <si>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</si>
  <si>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</si>
  <si>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</si>
  <si>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</si>
  <si>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</si>
  <si>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</si>
  <si>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</si>
  <si>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</si>
  <si>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</si>
  <si>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</si>
  <si>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</si>
  <si>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</si>
  <si>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</si>
  <si>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</si>
  <si>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</si>
  <si>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</si>
  <si>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</si>
  <si>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</si>
  <si>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</si>
  <si>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</si>
  <si>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</si>
  <si>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</si>
  <si>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</si>
  <si>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</si>
  <si>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</si>
  <si>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</si>
  <si>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</si>
  <si>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</si>
  <si>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</si>
  <si>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</si>
  <si>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</si>
  <si>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</si>
  <si>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</si>
  <si>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</si>
  <si>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</si>
  <si>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</si>
  <si>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</si>
  <si>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</si>
  <si>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</si>
  <si>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</si>
  <si>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</si>
  <si>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</si>
  <si>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</si>
  <si>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</si>
  <si>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</si>
  <si>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</si>
  <si>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</si>
  <si>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</si>
  <si>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</si>
  <si>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</si>
  <si>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</si>
  <si>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</si>
  <si>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</si>
  <si>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</si>
  <si>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</si>
  <si>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</si>
  <si>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</si>
  <si>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</si>
  <si>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</si>
  <si>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</si>
  <si>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</si>
  <si>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</si>
  <si>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</si>
  <si>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</si>
  <si>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</si>
  <si>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</si>
  <si>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</si>
  <si>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</si>
  <si>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</si>
  <si>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</si>
  <si>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</si>
  <si>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</si>
  <si>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</si>
  <si>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</si>
  <si>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</si>
  <si>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</si>
  <si>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</si>
  <si>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</si>
  <si>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</si>
  <si>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</si>
  <si>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</si>
  <si>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</si>
  <si>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</si>
  <si>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</si>
  <si>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</si>
  <si>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</si>
  <si>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</si>
  <si>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</si>
  <si>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</si>
  <si>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</si>
  <si>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</si>
  <si>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</si>
  <si>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</si>
  <si>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</si>
  <si>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</si>
  <si>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</si>
  <si>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</si>
  <si>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</si>
  <si>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</si>
  <si>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</si>
  <si>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</si>
  <si>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</si>
  <si>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</si>
  <si>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</si>
  <si>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</si>
  <si>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</si>
  <si>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</si>
  <si>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</si>
  <si>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</si>
  <si>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</si>
  <si>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</si>
  <si>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</si>
  <si>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</si>
  <si>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</si>
  <si>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</si>
  <si>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</si>
  <si>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</si>
  <si>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</si>
  <si>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</si>
  <si>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</si>
  <si>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</si>
  <si>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</si>
  <si>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</si>
  <si>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</si>
  <si>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</si>
  <si>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</si>
  <si>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</si>
  <si>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</si>
  <si>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</si>
  <si>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</si>
  <si>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</si>
  <si>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</si>
  <si>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</si>
  <si>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</si>
  <si>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</si>
  <si>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</si>
  <si>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</si>
  <si>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</si>
  <si>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</si>
  <si>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</si>
  <si>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</si>
  <si>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</si>
  <si>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</si>
  <si>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</si>
  <si>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</si>
  <si>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</si>
  <si>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</si>
  <si>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</si>
  <si>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</si>
  <si>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</si>
  <si>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</si>
  <si>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</si>
  <si>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</si>
  <si>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</si>
  <si>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</si>
  <si>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</si>
  <si>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</si>
  <si>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</si>
  <si>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</si>
  <si>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</si>
  <si>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</si>
  <si>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</si>
  <si>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</si>
  <si>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</si>
  <si>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</si>
  <si>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</si>
  <si>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</si>
  <si>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</si>
  <si>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</si>
  <si>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</si>
  <si>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</si>
  <si>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</si>
  <si>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</si>
  <si>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</si>
  <si>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</si>
  <si>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</si>
  <si>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</si>
  <si>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</si>
  <si>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</si>
  <si>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</si>
  <si>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</si>
  <si>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</si>
  <si>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</si>
  <si>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</si>
  <si>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</si>
  <si>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</si>
  <si>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</si>
  <si>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</si>
  <si>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</si>
  <si>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</si>
  <si>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</si>
  <si>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</si>
  <si>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</si>
  <si>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</si>
  <si>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</si>
  <si>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</si>
  <si>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</si>
  <si>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</si>
  <si>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</si>
  <si>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</si>
  <si>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</si>
  <si>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</si>
  <si>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</si>
  <si>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</si>
  <si>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</si>
  <si>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</si>
  <si>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</si>
  <si>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</si>
  <si>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</si>
  <si>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</si>
  <si>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</si>
  <si>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</si>
  <si>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</si>
  <si>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</si>
  <si>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</si>
  <si>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</si>
  <si>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</si>
  <si>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</si>
  <si>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</si>
  <si>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</si>
  <si>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</si>
  <si>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</si>
  <si>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</si>
  <si>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</si>
  <si>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</si>
  <si>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</si>
  <si>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</si>
  <si>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</si>
  <si>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</si>
  <si>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</si>
  <si>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</si>
  <si>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</si>
  <si>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</si>
  <si>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</si>
  <si>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</si>
  <si>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</si>
  <si>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</si>
  <si>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</si>
  <si>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</si>
  <si>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</si>
  <si>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</si>
  <si>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</si>
  <si>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</si>
  <si>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</si>
  <si>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</si>
  <si>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</si>
  <si>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</si>
  <si>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</si>
  <si>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</si>
  <si>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</si>
  <si>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</si>
  <si>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</si>
  <si>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</si>
  <si>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</si>
  <si>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</si>
  <si>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</si>
  <si>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</si>
  <si>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</si>
  <si>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</si>
  <si>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</si>
  <si>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</si>
  <si>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</si>
  <si>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</si>
  <si>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</si>
  <si>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</si>
  <si>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</si>
  <si>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</si>
  <si>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</si>
  <si>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</si>
  <si>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</si>
  <si>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</si>
  <si>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</si>
  <si>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</si>
  <si>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</si>
  <si>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</si>
  <si>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</si>
  <si>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</si>
  <si>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</si>
  <si>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</si>
  <si>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</si>
  <si>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</si>
  <si>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</si>
  <si>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</si>
  <si>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</si>
  <si>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</si>
  <si>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</si>
  <si>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</si>
  <si>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</si>
  <si>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</si>
  <si>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</si>
  <si>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</si>
  <si>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</si>
  <si>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</si>
  <si>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</si>
  <si>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</si>
  <si>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</si>
  <si>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</si>
  <si>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</si>
  <si>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</si>
  <si>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</si>
  <si>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</si>
  <si>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</si>
  <si>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</si>
  <si>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</si>
  <si>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</si>
  <si>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</si>
  <si>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</si>
  <si>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</si>
  <si>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</si>
  <si>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</si>
  <si>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</si>
  <si>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</si>
  <si>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</si>
  <si>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</si>
  <si>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</si>
  <si>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</si>
  <si>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</si>
  <si>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</si>
  <si>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</si>
  <si>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</si>
  <si>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</si>
  <si>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</si>
  <si>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</si>
  <si>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</si>
  <si>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</si>
  <si>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</si>
  <si>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</si>
  <si>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</si>
  <si>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</si>
  <si>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</si>
  <si>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</si>
  <si>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</si>
  <si>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</si>
  <si>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</si>
  <si>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</si>
  <si>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</si>
  <si>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</si>
  <si>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</si>
  <si>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</si>
  <si>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</si>
  <si>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</si>
  <si>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</si>
  <si>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</si>
  <si>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</si>
  <si>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</si>
  <si>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</si>
  <si>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</si>
  <si>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</si>
  <si>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</si>
  <si>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</si>
  <si>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</si>
  <si>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</si>
  <si>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</si>
  <si>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</si>
  <si>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</si>
  <si>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</si>
  <si>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</si>
  <si>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</si>
  <si>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</si>
  <si>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</si>
  <si>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</si>
  <si>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</si>
  <si>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</si>
  <si>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</si>
  <si>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</si>
  <si>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</si>
  <si>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</si>
  <si>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</si>
  <si>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</si>
  <si>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</si>
  <si>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</si>
  <si>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</si>
  <si>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</si>
  <si>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</si>
  <si>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</si>
  <si>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</si>
  <si>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</si>
  <si>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</si>
  <si>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</si>
  <si>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</si>
  <si>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</si>
  <si>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</si>
  <si>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</si>
  <si>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</si>
  <si>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</si>
  <si>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</si>
  <si>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</si>
  <si>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</si>
  <si>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</si>
  <si>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</si>
  <si>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</si>
  <si>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</si>
  <si>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</si>
  <si>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</si>
  <si>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</si>
  <si>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</si>
  <si>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</si>
  <si>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</si>
  <si>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</si>
  <si>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</si>
  <si>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</si>
  <si>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</si>
  <si>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</si>
  <si>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</si>
  <si>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</si>
  <si>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</si>
  <si>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</si>
  <si>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</si>
  <si>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</si>
  <si>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</si>
  <si>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</si>
  <si>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</si>
  <si>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</si>
  <si>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</si>
  <si>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</si>
  <si>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</si>
  <si>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</si>
  <si>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</si>
  <si>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</si>
  <si>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</si>
  <si>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</si>
  <si>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</si>
  <si>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</si>
  <si>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</si>
  <si>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</si>
  <si>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</si>
  <si>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</si>
  <si>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</si>
  <si>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</si>
  <si>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</si>
  <si>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</si>
  <si>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</si>
  <si>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</si>
  <si>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</si>
  <si>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</si>
  <si>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</si>
  <si>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</si>
  <si>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</si>
  <si>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</si>
  <si>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</si>
  <si>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</si>
  <si>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</si>
  <si>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</si>
  <si>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</si>
  <si>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</si>
  <si>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</si>
  <si>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</si>
  <si>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</si>
  <si>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</si>
  <si>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</si>
  <si>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</si>
  <si>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</si>
  <si>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</si>
  <si>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</si>
  <si>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</si>
  <si>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</si>
  <si>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</si>
  <si>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</si>
  <si>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</si>
  <si>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</si>
  <si>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</si>
  <si>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</si>
  <si>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</si>
  <si>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</si>
  <si>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</si>
  <si>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</si>
  <si>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</si>
  <si>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</si>
  <si>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</si>
  <si>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</si>
  <si>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</si>
  <si>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</si>
  <si>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</si>
  <si>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</si>
  <si>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</si>
  <si>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</si>
  <si>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</si>
  <si>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</si>
  <si>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</si>
  <si>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</si>
  <si>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</si>
  <si>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</si>
  <si>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</si>
  <si>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</si>
  <si>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</si>
  <si>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</si>
  <si>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</si>
  <si>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</si>
  <si>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</si>
  <si>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</si>
  <si>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</si>
  <si>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</si>
  <si>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</si>
  <si>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</si>
  <si>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</si>
  <si>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</si>
  <si>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</si>
  <si>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</si>
  <si>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</si>
  <si>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</si>
  <si>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</si>
  <si>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</si>
  <si>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</si>
  <si>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</si>
  <si>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</si>
  <si>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</si>
  <si>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</si>
  <si>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</si>
  <si>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</si>
  <si>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</si>
  <si>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</si>
  <si>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</si>
  <si>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</si>
  <si>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</si>
  <si>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</si>
  <si>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</si>
  <si>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</si>
  <si>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</si>
  <si>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</si>
  <si>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</si>
  <si>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</si>
  <si>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</si>
  <si>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</si>
  <si>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</si>
  <si>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</si>
  <si>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</si>
  <si>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</si>
  <si>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</si>
  <si>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</si>
  <si>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</si>
  <si>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</si>
  <si>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</si>
  <si>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</si>
  <si>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</si>
  <si>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</si>
  <si>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</si>
  <si>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</si>
  <si>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</si>
  <si>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</si>
  <si>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</si>
  <si>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</si>
  <si>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</si>
  <si>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</si>
  <si>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</si>
  <si>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</si>
  <si>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</si>
  <si>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</si>
  <si>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</si>
  <si>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</si>
  <si>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</si>
  <si>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</si>
  <si>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</si>
  <si>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</si>
  <si>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</si>
  <si>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</si>
  <si>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</si>
  <si>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</si>
  <si>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</si>
  <si>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</si>
  <si>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</si>
  <si>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</si>
  <si>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</si>
  <si>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</si>
  <si>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</si>
  <si>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</si>
  <si>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</si>
  <si>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</si>
  <si>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</si>
  <si>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</si>
  <si>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</si>
  <si>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</si>
  <si>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</si>
  <si>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</si>
  <si>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</si>
  <si>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</si>
  <si>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</si>
  <si>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</si>
  <si>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</si>
  <si>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</si>
  <si>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</si>
  <si>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</si>
  <si>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</si>
  <si>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</si>
  <si>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</si>
  <si>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</si>
  <si>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</si>
  <si>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</si>
  <si>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</si>
  <si>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</si>
  <si>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</si>
  <si>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</si>
  <si>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</si>
  <si>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</si>
  <si>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</si>
  <si>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</si>
  <si>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</si>
  <si>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</si>
  <si>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</si>
  <si>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</si>
  <si>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</si>
  <si>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</si>
  <si>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</si>
  <si>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</si>
  <si>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</si>
  <si>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</si>
  <si>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</si>
  <si>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</si>
  <si>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</si>
  <si>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</si>
  <si>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</si>
  <si>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</si>
  <si>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</si>
  <si>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</si>
  <si>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</si>
  <si>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</si>
  <si>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</si>
  <si>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</si>
  <si>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</si>
  <si>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</si>
  <si>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</si>
  <si>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</si>
  <si>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</si>
  <si>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</si>
  <si>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</si>
  <si>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</si>
  <si>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</si>
  <si>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</si>
  <si>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</si>
  <si>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</si>
  <si>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</si>
  <si>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</si>
  <si>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</si>
  <si>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</si>
  <si>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</si>
  <si>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</si>
  <si>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</si>
  <si>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</si>
  <si>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</si>
  <si>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</si>
  <si>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</si>
  <si>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</si>
  <si>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</si>
  <si>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</si>
  <si>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</si>
  <si>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</si>
  <si>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</si>
  <si>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</si>
  <si>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</si>
  <si>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</si>
  <si>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</si>
  <si>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</si>
  <si>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</si>
  <si>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</si>
  <si>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</si>
  <si>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</si>
  <si>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</si>
  <si>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</si>
  <si>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</si>
  <si>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</si>
  <si>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</si>
  <si>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</si>
  <si>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</si>
  <si>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</si>
  <si>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</si>
  <si>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</si>
  <si>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</si>
  <si>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</si>
  <si>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</si>
  <si>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</si>
  <si>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</si>
  <si>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</si>
  <si>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</si>
  <si>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</si>
  <si>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</si>
  <si>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</si>
  <si>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</si>
  <si>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</si>
  <si>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</si>
  <si>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</si>
  <si>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</si>
  <si>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</si>
  <si>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</si>
  <si>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</si>
  <si>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</si>
  <si>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</si>
  <si>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</si>
  <si>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</si>
  <si>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</si>
  <si>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</si>
  <si>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</si>
  <si>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</si>
  <si>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</si>
  <si>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</si>
  <si>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</si>
  <si>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</si>
  <si>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</si>
  <si>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</si>
  <si>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</si>
  <si>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</si>
  <si>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</si>
  <si>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</si>
  <si>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</si>
  <si>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</si>
  <si>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</si>
  <si>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</si>
  <si>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</si>
  <si>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</si>
  <si>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</si>
  <si>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</si>
  <si>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</si>
  <si>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</si>
  <si>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</si>
  <si>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</si>
  <si>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</si>
  <si>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</si>
  <si>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</si>
  <si>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</si>
  <si>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</si>
  <si>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</si>
  <si>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</si>
  <si>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</si>
  <si>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</si>
  <si>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</si>
  <si>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</si>
  <si>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</si>
  <si>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</si>
  <si>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</si>
  <si>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</si>
  <si>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</si>
  <si>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</si>
  <si>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</si>
  <si>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</si>
  <si>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</si>
  <si>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</si>
  <si>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</si>
  <si>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</si>
  <si>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</si>
  <si>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</si>
  <si>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</si>
  <si>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</si>
  <si>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</si>
  <si>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</si>
  <si>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</si>
  <si>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</si>
  <si>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</si>
  <si>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</si>
  <si>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</si>
  <si>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</si>
  <si>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</si>
  <si>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</si>
  <si>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</si>
  <si>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</si>
  <si>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</si>
  <si>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</si>
  <si>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</si>
  <si>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</si>
  <si>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</si>
  <si>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</si>
  <si>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</si>
  <si>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</si>
  <si>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</si>
  <si>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</si>
  <si>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</si>
  <si>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</si>
  <si>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</si>
  <si>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</si>
  <si>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</si>
  <si>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</si>
  <si>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</si>
  <si>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</si>
  <si>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</si>
  <si>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</si>
  <si>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</si>
  <si>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</si>
  <si>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</si>
  <si>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</si>
  <si>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</si>
  <si>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</si>
  <si>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</si>
  <si>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</si>
  <si>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</si>
  <si>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</si>
  <si>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</si>
  <si>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</si>
  <si>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</si>
  <si>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</si>
  <si>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</si>
  <si>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</si>
  <si>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</si>
  <si>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</si>
  <si>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</si>
  <si>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</si>
  <si>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</si>
  <si>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</si>
  <si>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</si>
  <si>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</si>
  <si>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</si>
  <si>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</si>
  <si>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</si>
  <si>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</si>
  <si>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</si>
  <si>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</si>
  <si>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</si>
  <si>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</si>
  <si>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</si>
  <si>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</si>
  <si>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</si>
  <si>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</si>
  <si>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</si>
  <si>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</si>
  <si>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</si>
  <si>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</si>
  <si>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</si>
  <si>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</si>
  <si>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</si>
  <si>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</si>
  <si>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</si>
  <si>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</si>
  <si>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</si>
  <si>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</si>
  <si>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</si>
  <si>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</si>
  <si>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</si>
  <si>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</si>
  <si>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</si>
  <si>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</si>
  <si>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</si>
  <si>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</si>
  <si>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</si>
  <si>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</si>
  <si>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</si>
  <si>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</si>
  <si>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</si>
  <si>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</si>
  <si>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</si>
  <si>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</si>
  <si>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</si>
  <si>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</si>
  <si>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</si>
  <si>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</si>
  <si>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</si>
  <si>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</si>
  <si>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</si>
  <si>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</si>
  <si>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</si>
  <si>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</si>
  <si>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</si>
  <si>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</si>
  <si>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</si>
  <si>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</si>
  <si>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</si>
  <si>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</si>
  <si>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</si>
  <si>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</si>
  <si>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</si>
  <si>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</si>
  <si>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</si>
  <si>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</si>
  <si>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</si>
  <si>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</si>
  <si>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</si>
  <si>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</si>
  <si>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</si>
  <si>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</si>
  <si>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</si>
  <si>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</si>
  <si>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</si>
  <si>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</si>
  <si>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</si>
  <si>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</si>
  <si>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</si>
  <si>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</si>
  <si>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</si>
  <si>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</si>
  <si>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</si>
  <si>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</si>
  <si>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</si>
  <si>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</si>
  <si>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</si>
  <si>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</si>
  <si>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</si>
  <si>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</si>
  <si>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</si>
  <si>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</si>
  <si>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</si>
  <si>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</si>
  <si>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</si>
  <si>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</si>
  <si>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</si>
  <si>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</si>
  <si>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</si>
  <si>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</si>
  <si>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</si>
  <si>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</si>
  <si>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</si>
  <si>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</si>
  <si>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</si>
  <si>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</si>
  <si>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</si>
  <si>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</si>
  <si>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</si>
  <si>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</si>
  <si>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</si>
  <si>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</si>
  <si>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</si>
  <si>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</si>
  <si>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</si>
  <si>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</si>
  <si>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</si>
  <si>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</si>
  <si>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</si>
  <si>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</si>
  <si>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</si>
  <si>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</si>
  <si>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</si>
  <si>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</si>
  <si>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</si>
  <si>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</si>
  <si>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</si>
  <si>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</si>
  <si>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</si>
  <si>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</si>
  <si>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</si>
  <si>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</si>
  <si>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</si>
  <si>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</si>
  <si>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</si>
  <si>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</si>
  <si>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</si>
  <si>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</si>
  <si>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</si>
  <si>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</si>
  <si>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</si>
  <si>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</si>
  <si>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</si>
  <si>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</si>
  <si>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</si>
  <si>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</si>
  <si>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</si>
  <si>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</si>
  <si>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</si>
  <si>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</si>
  <si>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</si>
  <si>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</si>
  <si>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</si>
  <si>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</si>
  <si>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</si>
  <si>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</si>
  <si>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</si>
  <si>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</si>
  <si>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</si>
  <si>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</si>
  <si>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</si>
  <si>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</si>
  <si>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</si>
  <si>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</si>
  <si>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</si>
  <si>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</si>
  <si>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</si>
  <si>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</si>
  <si>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</si>
  <si>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</si>
  <si>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</si>
  <si>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</si>
  <si>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</si>
  <si>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</si>
  <si>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</si>
  <si>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</si>
  <si>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</si>
  <si>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</si>
  <si>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</si>
  <si>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</si>
  <si>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</si>
  <si>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</si>
  <si>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</si>
  <si>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</si>
  <si>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</si>
  <si>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</si>
  <si>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</si>
  <si>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</si>
  <si>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</si>
  <si>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</si>
  <si>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</si>
  <si>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</si>
  <si>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</si>
  <si>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</si>
  <si>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</si>
  <si>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</si>
  <si>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</si>
  <si>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</si>
  <si>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</si>
  <si>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</si>
  <si>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</si>
  <si>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</si>
  <si>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</si>
  <si>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</si>
  <si>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</si>
  <si>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</si>
  <si>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</si>
  <si>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</si>
  <si>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</si>
  <si>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</si>
  <si>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</si>
  <si>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</si>
  <si>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</si>
  <si>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</si>
  <si>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</si>
  <si>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</si>
  <si>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</si>
  <si>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</si>
  <si>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</si>
  <si>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</si>
  <si>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</si>
  <si>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</si>
  <si>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</si>
  <si>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</si>
  <si>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</si>
  <si>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</si>
  <si>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</si>
  <si>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</si>
  <si>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</si>
  <si>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</si>
  <si>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</si>
  <si>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</si>
  <si>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</si>
  <si>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</si>
  <si>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</si>
  <si>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</si>
  <si>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</si>
  <si>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</si>
  <si>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</si>
  <si>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</si>
  <si>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</si>
  <si>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</si>
  <si>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</si>
  <si>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</si>
  <si>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</si>
  <si>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</si>
  <si>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</si>
  <si>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</si>
  <si>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</si>
  <si>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</si>
  <si>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</si>
  <si>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</si>
  <si>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</si>
  <si>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</si>
  <si>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</si>
  <si>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</si>
  <si>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</si>
  <si>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</si>
  <si>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</si>
  <si>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</si>
  <si>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</si>
  <si>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</si>
  <si>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</si>
  <si>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</si>
  <si>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</si>
  <si>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</si>
  <si>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</si>
  <si>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</si>
  <si>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</si>
  <si>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</si>
  <si>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</si>
  <si>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</si>
  <si>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</si>
  <si>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</si>
  <si>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</si>
  <si>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</si>
  <si>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</si>
  <si>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</si>
  <si>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</si>
  <si>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</si>
  <si>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</si>
  <si>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</si>
  <si>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</si>
  <si>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</si>
  <si>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</si>
  <si>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</si>
  <si>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</si>
  <si>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</si>
  <si>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</si>
  <si>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</si>
  <si>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</si>
  <si>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</si>
  <si>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</si>
  <si>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</si>
  <si>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</si>
  <si>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</si>
  <si>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</si>
  <si>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</si>
  <si>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</si>
  <si>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</si>
  <si>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</si>
  <si>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</si>
  <si>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</si>
  <si>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</si>
  <si>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</si>
  <si>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</si>
  <si>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</si>
  <si>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</si>
  <si>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</si>
  <si>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</si>
  <si>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</si>
  <si>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</si>
  <si>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</si>
  <si>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</si>
  <si>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</si>
  <si>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</si>
  <si>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</si>
  <si>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</si>
  <si>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</si>
  <si>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</si>
  <si>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</si>
  <si>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</si>
  <si>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</si>
  <si>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</si>
  <si>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</si>
  <si>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</si>
  <si>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</si>
  <si>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</si>
  <si>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</si>
  <si>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</si>
  <si>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</si>
  <si>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</si>
  <si>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</si>
  <si>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</si>
  <si>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</si>
  <si>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</si>
  <si>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</si>
  <si>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</si>
  <si>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</si>
  <si>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</si>
  <si>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</si>
  <si>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</si>
  <si>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</si>
  <si>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</si>
  <si>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</si>
  <si>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</si>
  <si>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</si>
  <si>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</si>
  <si>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</si>
  <si>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</si>
  <si>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</si>
  <si>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</si>
  <si>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</si>
  <si>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</si>
  <si>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</si>
  <si>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</si>
  <si>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</si>
  <si>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</si>
  <si>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</si>
  <si>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</si>
  <si>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</si>
  <si>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</si>
  <si>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</si>
  <si>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</si>
  <si>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</si>
  <si>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</si>
  <si>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</si>
  <si>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</si>
  <si>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</si>
  <si>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</si>
  <si>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</si>
  <si>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</si>
  <si>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</si>
  <si>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</si>
  <si>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</si>
  <si>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</si>
  <si>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</si>
  <si>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</si>
  <si>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</si>
  <si>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</si>
  <si>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</si>
  <si>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</si>
  <si>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</si>
  <si>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</si>
  <si>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</si>
  <si>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</si>
  <si>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</si>
  <si>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</si>
  <si>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</si>
  <si>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</si>
  <si>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</si>
  <si>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</si>
  <si>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</si>
  <si>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</si>
  <si>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</si>
  <si>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</si>
  <si>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</si>
  <si>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</si>
  <si>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</si>
  <si>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</si>
  <si>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</si>
  <si>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</si>
  <si>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</si>
  <si>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</si>
  <si>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</si>
  <si>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</si>
  <si>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</si>
  <si>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</si>
  <si>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</si>
  <si>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</si>
  <si>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</si>
  <si>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</si>
  <si>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</si>
  <si>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</si>
  <si>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</si>
  <si>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</si>
  <si>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</si>
  <si>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</si>
  <si>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</si>
  <si>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</si>
  <si>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</si>
  <si>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</si>
  <si>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</si>
  <si>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</si>
  <si>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</si>
  <si>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</si>
  <si>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</si>
  <si>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</si>
  <si>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</si>
  <si>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</si>
  <si>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</si>
  <si>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</si>
  <si>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</si>
  <si>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</si>
  <si>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</si>
  <si>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</si>
  <si>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</si>
  <si>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</si>
  <si>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</si>
  <si>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</si>
  <si>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</si>
  <si>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</si>
  <si>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</si>
  <si>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</si>
  <si>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</si>
  <si>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</si>
  <si>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</si>
  <si>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</si>
  <si>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</si>
  <si>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</si>
  <si>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</si>
  <si>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</si>
  <si>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</si>
  <si>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</si>
  <si>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</si>
  <si>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</si>
  <si>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</si>
  <si>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</si>
  <si>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</si>
  <si>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</si>
  <si>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</si>
  <si>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</si>
  <si>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</si>
  <si>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</si>
  <si>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</si>
  <si>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</si>
  <si>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</si>
  <si>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</si>
  <si>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</si>
  <si>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</si>
  <si>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</si>
  <si>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</si>
  <si>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</si>
  <si>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</si>
  <si>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</si>
  <si>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</si>
  <si>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</si>
  <si>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</si>
  <si>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</si>
  <si>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</si>
  <si>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</si>
  <si>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</si>
  <si>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</si>
  <si>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</si>
  <si>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</si>
  <si>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</si>
  <si>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</si>
  <si>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</si>
  <si>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</si>
  <si>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</si>
  <si>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</si>
  <si>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</si>
  <si>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</si>
  <si>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</si>
  <si>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</si>
  <si>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</si>
  <si>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</si>
  <si>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</si>
  <si>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</si>
  <si>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</si>
  <si>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</si>
  <si>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</si>
  <si>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</si>
  <si>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</si>
  <si>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</si>
  <si>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</si>
  <si>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</si>
  <si>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</si>
  <si>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</si>
  <si>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</si>
  <si>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</si>
  <si>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</si>
  <si>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</si>
  <si>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</si>
  <si>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</si>
  <si>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</si>
  <si>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</si>
  <si>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</si>
  <si>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</si>
  <si>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</si>
  <si>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</si>
  <si>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</si>
  <si>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</si>
  <si>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</si>
  <si>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</si>
  <si>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</si>
  <si>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</si>
  <si>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</si>
  <si>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</si>
  <si>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</si>
  <si>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</si>
  <si>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</si>
  <si>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</si>
  <si>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</si>
  <si>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</si>
  <si>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</si>
  <si>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</si>
  <si>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</si>
  <si>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</si>
  <si>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</si>
  <si>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</si>
  <si>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</si>
  <si>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</si>
  <si>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</si>
  <si>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</si>
  <si>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</si>
  <si>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</si>
  <si>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</si>
  <si>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</si>
  <si>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</si>
  <si>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</si>
  <si>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</si>
  <si>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</si>
  <si>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</si>
  <si>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</si>
  <si>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</si>
  <si>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</si>
  <si>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</si>
  <si>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</si>
  <si>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</si>
  <si>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</si>
  <si>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</si>
  <si>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</si>
  <si>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</si>
  <si>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</si>
  <si>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</si>
  <si>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</si>
  <si>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</si>
  <si>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</si>
  <si>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</si>
  <si>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</si>
  <si>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</si>
  <si>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</si>
  <si>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</si>
  <si>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</si>
  <si>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</si>
  <si>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</si>
  <si>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</si>
  <si>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</si>
  <si>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</si>
  <si>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</si>
  <si>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</si>
  <si>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</si>
  <si>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</si>
  <si>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</si>
  <si>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</si>
  <si>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</si>
  <si>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</si>
  <si>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</si>
  <si>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</si>
  <si>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</si>
  <si>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</si>
  <si>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</si>
  <si>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</si>
  <si>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</si>
  <si>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</si>
  <si>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</si>
  <si>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</si>
  <si>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</si>
  <si>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</si>
  <si>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</si>
  <si>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</si>
  <si>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</si>
  <si>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</si>
  <si>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</si>
  <si>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</si>
  <si>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</si>
  <si>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</si>
  <si>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</si>
  <si>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</si>
  <si>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</si>
  <si>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</si>
  <si>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</si>
  <si>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</si>
  <si>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</si>
  <si>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</si>
  <si>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</si>
  <si>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</si>
  <si>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</si>
  <si>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</si>
  <si>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</si>
  <si>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</si>
  <si>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</si>
  <si>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</si>
  <si>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</si>
  <si>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</si>
  <si>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</si>
  <si>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</si>
  <si>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</si>
  <si>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</si>
  <si>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</si>
  <si>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</si>
  <si>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</si>
  <si>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</si>
  <si>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</si>
  <si>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</si>
  <si>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</si>
  <si>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</si>
  <si>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</si>
  <si>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</si>
  <si>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</si>
  <si>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</si>
  <si>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</si>
  <si>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</si>
  <si>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</si>
  <si>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</si>
  <si>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</si>
  <si>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</si>
  <si>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</si>
  <si>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</si>
  <si>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</si>
  <si>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</si>
  <si>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</si>
  <si>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</si>
  <si>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</si>
  <si>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</si>
  <si>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</si>
  <si>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</si>
  <si>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</si>
  <si>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</si>
  <si>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</si>
  <si>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</si>
  <si>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</si>
  <si>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</si>
  <si>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</si>
  <si>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</si>
  <si>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</si>
  <si>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</si>
  <si>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</si>
  <si>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</si>
  <si>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</si>
  <si>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</si>
  <si>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</si>
  <si>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</si>
  <si>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</si>
  <si>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</si>
  <si>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</si>
  <si>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</si>
  <si>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</si>
  <si>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</si>
  <si>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</si>
  <si>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</si>
  <si>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</si>
  <si>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</si>
  <si>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</si>
  <si>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</si>
  <si>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</si>
  <si>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</si>
  <si>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</si>
  <si>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</si>
  <si>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</si>
  <si>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</si>
  <si>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</si>
  <si>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</si>
  <si>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</si>
  <si>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</si>
  <si>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</si>
  <si>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</si>
  <si>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</si>
  <si>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</si>
  <si>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</si>
  <si>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</si>
  <si>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</si>
  <si>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</si>
  <si>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</si>
  <si>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</si>
  <si>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</si>
  <si>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</si>
  <si>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</si>
  <si>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</si>
  <si>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</si>
  <si>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</si>
  <si>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</si>
  <si>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</si>
  <si>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</si>
  <si>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</si>
  <si>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</si>
  <si>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</si>
  <si>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</si>
  <si>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</si>
  <si>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</si>
  <si>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</si>
  <si>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</si>
  <si>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</si>
  <si>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</si>
  <si>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</si>
  <si>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</si>
  <si>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</si>
  <si>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</si>
  <si>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</si>
  <si>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</si>
  <si>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</si>
  <si>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</si>
  <si>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</si>
  <si>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</si>
  <si>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</si>
  <si>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</si>
  <si>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</si>
  <si>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</si>
  <si>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</si>
  <si>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</si>
  <si>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</si>
  <si>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</si>
  <si>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</si>
  <si>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</si>
  <si>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</si>
  <si>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</si>
  <si>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</si>
  <si>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</si>
  <si>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</si>
  <si>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</si>
  <si>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</si>
  <si>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</si>
  <si>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</si>
  <si>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</si>
  <si>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</si>
  <si>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</si>
  <si>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</si>
  <si>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</si>
  <si>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</si>
  <si>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</si>
  <si>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</si>
  <si>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</si>
  <si>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</si>
  <si>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</si>
  <si>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</si>
  <si>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</si>
  <si>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</si>
  <si>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</si>
  <si>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</si>
  <si>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</si>
  <si>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</si>
  <si>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</si>
  <si>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</si>
  <si>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</si>
  <si>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</si>
  <si>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</si>
  <si>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</si>
  <si>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</si>
  <si>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</si>
  <si>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</si>
  <si>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</si>
  <si>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</si>
  <si>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</si>
  <si>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</si>
  <si>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</si>
  <si>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</si>
  <si>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</si>
  <si>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</si>
  <si>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</si>
  <si>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</si>
  <si>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</si>
  <si>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</si>
  <si>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</si>
  <si>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</si>
  <si>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</si>
  <si>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</si>
  <si>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</si>
  <si>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</si>
  <si>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</si>
  <si>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</si>
  <si>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</si>
  <si>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</si>
  <si>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</si>
  <si>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</si>
  <si>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</si>
  <si>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</si>
  <si>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</si>
  <si>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</si>
  <si>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</si>
  <si>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</si>
  <si>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</si>
  <si>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</si>
  <si>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</si>
  <si>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</si>
  <si>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</si>
  <si>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</si>
  <si>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</si>
  <si>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</si>
  <si>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</si>
  <si>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</si>
  <si>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</si>
  <si>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</si>
  <si>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</si>
  <si>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</si>
  <si>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</si>
  <si>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</si>
  <si>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</si>
  <si>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</si>
  <si>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</si>
  <si>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</si>
  <si>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</si>
  <si>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</si>
  <si>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</si>
  <si>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</si>
  <si>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</si>
  <si>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</si>
  <si>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</si>
  <si>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</si>
  <si>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</si>
  <si>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</si>
  <si>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</si>
  <si>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</si>
  <si>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</si>
  <si>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</si>
  <si>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</si>
  <si>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</si>
  <si>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</si>
  <si>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</si>
  <si>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</si>
  <si>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</si>
  <si>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</si>
  <si>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</si>
  <si>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</si>
  <si>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</si>
  <si>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</si>
  <si>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</si>
  <si>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</si>
  <si>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</si>
  <si>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Holt &amp; Main, L.P.</t>
  </si>
  <si>
    <t>Holt &amp; Main</t>
  </si>
  <si>
    <t>Land Use Covenant - HCD Moderate (110% AMI) rents</t>
  </si>
  <si>
    <t>Land Use Covenant - HUD Low (80% AMI)</t>
  </si>
  <si>
    <t>120% AMI - TCAC</t>
  </si>
  <si>
    <t>80% - HUD</t>
  </si>
  <si>
    <t xml:space="preserve">110% - HCD Moderate </t>
  </si>
  <si>
    <t>City of Pomona</t>
  </si>
  <si>
    <t>Anita D. Gutierrez</t>
  </si>
  <si>
    <t>City Hall - 2nd Floor, 505 South Garey Ave.</t>
  </si>
  <si>
    <t>Pomona</t>
  </si>
  <si>
    <t>909-620-2051</t>
  </si>
  <si>
    <t>909-620-3707</t>
  </si>
  <si>
    <t>anita.gutierrez@pomonaca.gov</t>
  </si>
  <si>
    <t>40%/60% Average Income</t>
  </si>
  <si>
    <t>11150 W. Olympic Boulevard, Suite 620</t>
  </si>
  <si>
    <t>Holt &amp; Main LLC</t>
  </si>
  <si>
    <t>CA</t>
  </si>
  <si>
    <t>Chris Maffris</t>
  </si>
  <si>
    <t>310-575-3543</t>
  </si>
  <si>
    <t>cmaffris@metahousing.com</t>
  </si>
  <si>
    <t>Meta Development LLC</t>
  </si>
  <si>
    <t>151 Kalmus Drive, Suite J-5</t>
  </si>
  <si>
    <t>Costa Mesa</t>
  </si>
  <si>
    <t>Graham Espley-Jones</t>
  </si>
  <si>
    <t>(714) 597-8300</t>
  </si>
  <si>
    <t>graham@wchousing.com</t>
  </si>
  <si>
    <t>Western Community Housing, Inc</t>
  </si>
  <si>
    <t>WCH Affordable LXIV, LLC</t>
  </si>
  <si>
    <t>Sponsor</t>
  </si>
  <si>
    <t>11150 W Olympic Blvd Ste 620</t>
  </si>
  <si>
    <t>Los Angeles, CA 90064</t>
  </si>
  <si>
    <t>310-575-3563</t>
  </si>
  <si>
    <t xml:space="preserve">Y&amp;M </t>
  </si>
  <si>
    <t>724 S Spring St</t>
  </si>
  <si>
    <t>Los Angeles, CA 90014</t>
  </si>
  <si>
    <t>Ryan Yanagita</t>
  </si>
  <si>
    <t xml:space="preserve">213-623-2107 </t>
  </si>
  <si>
    <t>ryanagita@ymarch.com</t>
  </si>
  <si>
    <t>Bocarsley, Emden, Cowan, Esmail &amp; Arndt, LLP</t>
  </si>
  <si>
    <t>633 West Fifth Street, 64th Floor</t>
  </si>
  <si>
    <t>Los Angeles, CA 90071</t>
  </si>
  <si>
    <t>Nicole Deddens</t>
  </si>
  <si>
    <t>213-239-8029</t>
  </si>
  <si>
    <t>213-559-0765</t>
  </si>
  <si>
    <t>ndeddens@bocarsly.com</t>
  </si>
  <si>
    <t xml:space="preserve">Novogradac &amp; Co </t>
  </si>
  <si>
    <t>249 East Ocean Blvd. Suite 900</t>
  </si>
  <si>
    <t>Long Beach, CA 90802</t>
  </si>
  <si>
    <t>Natalie Chavez</t>
  </si>
  <si>
    <t>562-256-2329</t>
  </si>
  <si>
    <t>natalie.chavez@novoco.com</t>
  </si>
  <si>
    <t>TBD</t>
  </si>
  <si>
    <t>Boston Financial Investment Management, LP</t>
  </si>
  <si>
    <t>8721 Sunset Boulevard, PH1</t>
  </si>
  <si>
    <t>Los Angeles, CA 90069</t>
  </si>
  <si>
    <t>Roy Faerber</t>
  </si>
  <si>
    <t>310-860-4550</t>
  </si>
  <si>
    <t>roy.faerber@bfim.com</t>
  </si>
  <si>
    <t>Novogradac &amp; Company LLP</t>
  </si>
  <si>
    <t>6700 Antioch Road, Suite 450</t>
  </si>
  <si>
    <t>Merriam, KS 66204</t>
  </si>
  <si>
    <t>Sara Nachbar</t>
  </si>
  <si>
    <t>(913) 312-4616</t>
  </si>
  <si>
    <t>sara.nachbar@novoco.com</t>
  </si>
  <si>
    <t>California Housing Finance Agency</t>
  </si>
  <si>
    <t>500 Capitol Mall, Suite 400, MS 990</t>
  </si>
  <si>
    <t>Sacramento, CA  95814</t>
  </si>
  <si>
    <t>Jennifer Bearwood</t>
  </si>
  <si>
    <t>JBeardwood@CalHFA.ca.gov</t>
  </si>
  <si>
    <t>916-326-8800</t>
  </si>
  <si>
    <t>Trustee</t>
  </si>
  <si>
    <t>1) 10 Rishing Hill Road, Pomona, CA 91766; 2) 24641 Eshelman Ave, Lomita, CA 90717</t>
  </si>
  <si>
    <t>1) Chang Hyun Koo; 2) Javanshir Rad</t>
  </si>
  <si>
    <t>2) Javanshir Rad</t>
  </si>
  <si>
    <t>Manager</t>
  </si>
  <si>
    <t xml:space="preserve">1) 11/3/2023; 2) 11/10/2023 </t>
  </si>
  <si>
    <t>11/30/2024 for both sites</t>
  </si>
  <si>
    <t>11/30/2024 for both</t>
  </si>
  <si>
    <t>Inner City Infill Site</t>
  </si>
  <si>
    <t>T5 - Typical</t>
  </si>
  <si>
    <t>CSP - Corridors Specific Plan Downtown Gateway Segment // 30-80 du/acre</t>
  </si>
  <si>
    <t xml:space="preserve">CSP - Corridors Specific Plan Downtown Gateway Segment // unlimited </t>
  </si>
  <si>
    <t xml:space="preserve">Land Use Covenant to be recorded with a term of 55 years. </t>
  </si>
  <si>
    <t>MIP Funds</t>
  </si>
  <si>
    <t>300 South Grand Avenue, Suite 3110</t>
  </si>
  <si>
    <t>Hao Li</t>
  </si>
  <si>
    <t>213-239-1914</t>
  </si>
  <si>
    <t>AC</t>
  </si>
  <si>
    <t>Employee Burden</t>
  </si>
  <si>
    <t>Assistant Maintenance Manager</t>
  </si>
  <si>
    <t>Business License Tax</t>
  </si>
  <si>
    <t>Assistant Property Manager</t>
  </si>
  <si>
    <t>Fire Sprinkler/Alarm Service</t>
  </si>
  <si>
    <t>Other (Bond Issuer Fee):</t>
  </si>
  <si>
    <t>Other: (Payment and Preformance Bonds)</t>
  </si>
  <si>
    <t>Other: (Perm Loan Interest - Const Lender)</t>
  </si>
  <si>
    <t>Other: (Partnership Legal - Other)</t>
  </si>
  <si>
    <t>Other: (Misc City/County/Other Fees)</t>
  </si>
  <si>
    <t>Other: (Utility Connections/Deposits)</t>
  </si>
  <si>
    <t xml:space="preserve">Loan, Tax-Exempt, Recycled </t>
  </si>
  <si>
    <t>11150 W Olympic Blvd., Suite 620</t>
  </si>
  <si>
    <t>Kasey Burke</t>
  </si>
  <si>
    <t>LIHTC Equity Investor</t>
  </si>
  <si>
    <t>500 Capitol Mall, STE 400</t>
  </si>
  <si>
    <t>Sacramento, CA 95814</t>
  </si>
  <si>
    <t>916-326-8805</t>
  </si>
  <si>
    <t>LifeSTEPS</t>
  </si>
  <si>
    <t xml:space="preserve">Instructor-led Adult Educational classes such as health and wellness, or skill buildingclasses, including but not limited to: financial literacy, computer training, home-buyereducation, GED, resume building, ESL, nutrition, exercise, health information/awareness,art, parenting, on-site food cultivation and preparation, and smoking cessation. AdultEducation instruction shall be no less than eighty-four (84) hours per year.
Health and wellness services and programs.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Minimum of 60 hours of services per year for each 100 bedrooms.  </t>
  </si>
  <si>
    <t>Revocable Trust of Chang Huyun Koo and Susan Koo; Shiloh 26 Management LLC</t>
  </si>
  <si>
    <t xml:space="preserve">Holt &amp; Main, L.P. </t>
  </si>
  <si>
    <t>CalHFA MIP Funds</t>
  </si>
  <si>
    <t>CalHFA Recycled Bonds</t>
  </si>
  <si>
    <t>Owner</t>
  </si>
  <si>
    <t>CalHFA</t>
  </si>
  <si>
    <t>Above residual receipts line for cash flow</t>
  </si>
  <si>
    <t>LP Partnership Management Fee</t>
  </si>
  <si>
    <t>AGP Asset Management Fee</t>
  </si>
  <si>
    <t>GP Asset Management Fee</t>
  </si>
  <si>
    <t>Project will incorporate drought tolerant landscaping, solar PV, high efficiency heating and cooling systems, and energy efficient unit appliances.
The development team has contracted with a qualified green building specialist to ensure design and construction maximize energy efficiencies and green building techniques and materials and ensure the project will achieve Title 24 Energy Code Standards. The project is committed to providing efficient landscaping features to ensure minimal water usage. All project appliances will be ENERGY STAR rated, and the project will utilize energy efficient lighting, windows, and HVAC systems, and any fiberglass-based insulation will be Greenguard Gold Certified.</t>
  </si>
  <si>
    <t>N/a</t>
  </si>
  <si>
    <t>Cost Estimating with Westport Construction, KPRS, and Milender White</t>
  </si>
  <si>
    <t>Meta Housing has strong relationships with our general contractor partners. Westport Construction, KPRS, and Milender White have provided cost estimating services for Holt &amp; 
Main. All three contractors provided value engineering opportunities to ensure the project remains on budget while maintaining quality design and construction standards. In addition to services from the general contractors, IMG Construction Management is providing pre-construction services to oversee project drawings, cost estimating, and permit processing.</t>
  </si>
  <si>
    <t>Design Review (non-discretionary approval)</t>
  </si>
  <si>
    <t>Phase 1</t>
  </si>
  <si>
    <t xml:space="preserve">Per the Recommendations of the Phase I,  no additional investigation is recommended at this time. </t>
  </si>
  <si>
    <t>City of Pomona Fees</t>
  </si>
  <si>
    <t xml:space="preserve">Land cost reflects fair market value for the properties in Los Angeles County. The acuqisition is between unrelated parties </t>
  </si>
  <si>
    <t>Closing</t>
  </si>
  <si>
    <t>Cash</t>
  </si>
  <si>
    <t>Substantial Completion</t>
  </si>
  <si>
    <t>Permanent Conversion</t>
  </si>
  <si>
    <t>LACDA Utility Allowance Schedule, effective 7-1-2023.</t>
  </si>
  <si>
    <t>Variable</t>
  </si>
  <si>
    <t>Vice President</t>
  </si>
  <si>
    <t>April</t>
  </si>
  <si>
    <t>Holt &amp; Main, LLC., an affiliate of Meta Development, LLC</t>
  </si>
  <si>
    <t>VP</t>
  </si>
  <si>
    <t>8336-014-016, 8336-014-017, &amp; 8336-014-027</t>
  </si>
  <si>
    <t>Solari Enterprises, Inc</t>
  </si>
  <si>
    <t>gianna@solari-ent.com</t>
  </si>
  <si>
    <t>714-282-2517</t>
  </si>
  <si>
    <t>714-282-2520</t>
  </si>
  <si>
    <t>Gianna Richards</t>
  </si>
  <si>
    <t xml:space="preserve">Orange, CA 92867 </t>
  </si>
  <si>
    <t>1507 W. Yale Avenue</t>
  </si>
  <si>
    <t>Deferred Operating Reserve</t>
  </si>
  <si>
    <t xml:space="preserve">Solari Enterprises, Inc. </t>
  </si>
  <si>
    <t>1) SUSAN KOO, Trustee of the Revocable Living Trust of Chang Huyun Koo and Susan Koo, dated 9/19/2022 and 2) Shiloh 26 Management LLC</t>
  </si>
  <si>
    <t>1) Susan Koo</t>
  </si>
  <si>
    <t>Loan, Tax Exempt</t>
  </si>
  <si>
    <t>1) 625,000; 2) 2,400,000</t>
  </si>
  <si>
    <t>CalHFA Perm Loan</t>
  </si>
  <si>
    <t>Citi - Tax Exempt Loan</t>
  </si>
  <si>
    <t>Citi - Tax Exempt Loan - Recycled Bonds</t>
  </si>
  <si>
    <t>Citi - Taxable Tail</t>
  </si>
  <si>
    <t>221 + 237 W Holt Avenue</t>
  </si>
  <si>
    <t>Tax Credit Equity - Federal</t>
  </si>
  <si>
    <t>Tax Credit Equity -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</si>
</sst>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1"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20" fillId="0" borderId="0" applyFont="0" applyFill="0" applyBorder="0" applyAlignment="0" applyProtection="0"/>
    <xf numFmtId="0" fontId="120"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58"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6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19"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5" fillId="0" borderId="0" xfId="0" applyNumberFormat="1" applyFont="1" applyAlignment="1">
      <alignment horizontal="left"/>
    </xf>
    <xf numFmtId="0" fontId="57"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9" fillId="0" borderId="0" xfId="0" applyFont="1"/>
    <xf numFmtId="0" fontId="34" fillId="0" borderId="0" xfId="0" applyFont="1" applyAlignment="1">
      <alignment horizontal="center"/>
    </xf>
    <xf numFmtId="0" fontId="34" fillId="0" borderId="0" xfId="0" applyFont="1"/>
    <xf numFmtId="0" fontId="34" fillId="0" borderId="0" xfId="0" applyFont="1" applyAlignment="1">
      <alignment horizontal="left"/>
    </xf>
    <xf numFmtId="49" fontId="23" fillId="0" borderId="0" xfId="0" applyNumberFormat="1" applyFont="1" applyAlignment="1">
      <alignment horizontal="center"/>
    </xf>
    <xf numFmtId="0" fontId="51" fillId="0" borderId="0" xfId="0" applyFont="1" applyAlignment="1">
      <alignment horizontal="center"/>
    </xf>
    <xf numFmtId="0" fontId="50" fillId="0" borderId="0" xfId="244" applyFont="1" applyAlignment="1" applyProtection="1">
      <alignment horizontal="center"/>
    </xf>
    <xf numFmtId="0" fontId="25" fillId="0" borderId="0" xfId="0" quotePrefix="1" applyFont="1" applyAlignment="1">
      <alignment horizontal="left"/>
    </xf>
    <xf numFmtId="49" fontId="25" fillId="0" borderId="0" xfId="0" applyNumberFormat="1" applyFont="1" applyAlignment="1">
      <alignment horizontal="center"/>
    </xf>
    <xf numFmtId="0" fontId="23" fillId="0" borderId="0" xfId="0" quotePrefix="1" applyFont="1" applyAlignment="1">
      <alignment horizontal="center"/>
    </xf>
    <xf numFmtId="49" fontId="0" fillId="0" borderId="0" xfId="0" applyNumberFormat="1"/>
    <xf numFmtId="0" fontId="48" fillId="0" borderId="0" xfId="0" applyFont="1" applyAlignment="1">
      <alignment horizontal="left"/>
    </xf>
    <xf numFmtId="49" fontId="25" fillId="0" borderId="0" xfId="0" applyNumberFormat="1" applyFont="1"/>
    <xf numFmtId="49" fontId="23" fillId="0" borderId="0" xfId="0" applyNumberFormat="1" applyFont="1" applyAlignment="1">
      <alignment horizontal="left"/>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4" fillId="0" borderId="4" xfId="0" applyFont="1" applyBorder="1" applyAlignment="1">
      <alignment horizontal="right"/>
    </xf>
    <xf numFmtId="0" fontId="61"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4" fontId="25" fillId="0" borderId="0" xfId="0" applyNumberFormat="1" applyFont="1"/>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0" fontId="17" fillId="0" borderId="0" xfId="244" applyFill="1" applyBorder="1" applyProtection="1">
      <protection locked="0"/>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6" fillId="0" borderId="0" xfId="0" applyFont="1"/>
    <xf numFmtId="0" fontId="64"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4" fillId="0" borderId="6" xfId="0" applyFont="1" applyBorder="1" applyAlignment="1">
      <alignment horizontal="center"/>
    </xf>
    <xf numFmtId="172" fontId="25" fillId="0" borderId="0" xfId="0" applyNumberFormat="1" applyFont="1" applyAlignment="1">
      <alignment horizontal="center"/>
    </xf>
    <xf numFmtId="10" fontId="69" fillId="0" borderId="0" xfId="0" applyNumberFormat="1" applyFont="1" applyAlignment="1">
      <alignment horizontal="center"/>
    </xf>
    <xf numFmtId="4" fontId="25" fillId="0" borderId="0" xfId="271" applyNumberFormat="1" applyAlignment="1">
      <alignment horizontal="left"/>
    </xf>
    <xf numFmtId="0" fontId="25" fillId="0" borderId="0" xfId="27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4" fontId="25" fillId="0" borderId="0" xfId="0" applyNumberFormat="1" applyFont="1" applyAlignment="1">
      <alignment horizontal="center"/>
    </xf>
    <xf numFmtId="4" fontId="0" fillId="0" borderId="0" xfId="0" applyNumberFormat="1"/>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horizontal="right" vertical="top" wrapText="1"/>
      <protection locked="0"/>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62" fillId="0" borderId="0" xfId="542"/>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6"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3" fillId="0" borderId="0" xfId="271" applyFont="1" applyAlignment="1">
      <alignment horizontal="left"/>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49" fontId="25" fillId="0" borderId="0" xfId="271" applyNumberFormat="1"/>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5" fillId="5" borderId="0" xfId="0" applyNumberFormat="1" applyFont="1" applyFill="1" applyAlignment="1">
      <alignment horizontal="center"/>
    </xf>
    <xf numFmtId="0" fontId="25" fillId="0" borderId="0" xfId="271" applyAlignment="1" applyProtection="1">
      <alignment horizontal="left"/>
      <protection locked="0"/>
    </xf>
    <xf numFmtId="0" fontId="25" fillId="0" borderId="0" xfId="0" applyFont="1" applyAlignment="1" applyProtection="1">
      <alignment horizontal="left"/>
      <protection locked="0"/>
    </xf>
    <xf numFmtId="0" fontId="75"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1" fillId="0" borderId="0" xfId="271" applyFont="1" applyAlignment="1">
      <alignment horizontal="center"/>
    </xf>
    <xf numFmtId="49" fontId="25" fillId="0" borderId="0" xfId="271" applyNumberForma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0"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23" fillId="0" borderId="8" xfId="271" applyFont="1" applyBorder="1" applyAlignment="1" applyProtection="1">
      <alignment horizontal="center" wrapText="1"/>
      <protection locked="0"/>
    </xf>
    <xf numFmtId="0" fontId="25" fillId="0" borderId="8" xfId="27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19"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3"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3" fillId="0" borderId="0" xfId="569" applyFont="1" applyAlignment="1">
      <alignment horizontal="right" vertical="top" wrapText="1"/>
    </xf>
    <xf numFmtId="0" fontId="23" fillId="0" borderId="0" xfId="569" applyFont="1" applyAlignment="1">
      <alignment horizontal="left" vertical="top" wrapText="1"/>
    </xf>
    <xf numFmtId="168" fontId="53"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0"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7"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1" fillId="0" borderId="11" xfId="271" applyNumberFormat="1" applyFont="1" applyBorder="1"/>
    <xf numFmtId="168" fontId="21" fillId="0" borderId="0" xfId="271" applyNumberFormat="1" applyFont="1"/>
    <xf numFmtId="0" fontId="21" fillId="0" borderId="0" xfId="271" applyFont="1"/>
    <xf numFmtId="0" fontId="53" fillId="0" borderId="0" xfId="569" applyFont="1" applyAlignment="1">
      <alignment horizontal="left"/>
    </xf>
    <xf numFmtId="0" fontId="16" fillId="0" borderId="3" xfId="569" applyBorder="1"/>
    <xf numFmtId="0" fontId="0" fillId="5" borderId="6" xfId="0" applyFill="1" applyBorder="1" applyProtection="1">
      <protection locked="0"/>
    </xf>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16" fillId="0" borderId="0" xfId="271"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3"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1"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1"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1"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4"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6" fillId="0" borderId="0" xfId="271" applyFont="1" applyAlignment="1">
      <alignment horizontal="left" vertical="top"/>
    </xf>
    <xf numFmtId="0" fontId="53"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60"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5" fillId="0" borderId="9" xfId="543" applyFont="1" applyBorder="1" applyAlignment="1">
      <alignment vertical="top"/>
    </xf>
    <xf numFmtId="0" fontId="16"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6"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20"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20"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3"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3"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20"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20"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6"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20"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20" fillId="0" borderId="8" xfId="4495" applyBorder="1"/>
    <xf numFmtId="0" fontId="23" fillId="0" borderId="8" xfId="4495" applyFont="1" applyBorder="1" applyAlignment="1">
      <alignment vertical="top"/>
    </xf>
    <xf numFmtId="0" fontId="120" fillId="0" borderId="0" xfId="4495" applyAlignment="1">
      <alignment vertical="top"/>
    </xf>
    <xf numFmtId="0" fontId="23"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20" fillId="0" borderId="12" xfId="4495" applyBorder="1"/>
    <xf numFmtId="0" fontId="24" fillId="0" borderId="9" xfId="4495" applyFont="1" applyBorder="1"/>
    <xf numFmtId="0" fontId="120" fillId="0" borderId="10" xfId="4495" applyBorder="1"/>
    <xf numFmtId="0" fontId="32" fillId="0" borderId="3" xfId="4495" applyFont="1" applyBorder="1"/>
    <xf numFmtId="0" fontId="23" fillId="0" borderId="4" xfId="4495" applyFont="1" applyBorder="1"/>
    <xf numFmtId="0" fontId="120" fillId="0" borderId="12" xfId="4495" applyBorder="1" applyAlignment="1">
      <alignment vertical="top"/>
    </xf>
    <xf numFmtId="0" fontId="32"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2" fillId="0" borderId="9" xfId="4495" applyFont="1" applyBorder="1"/>
    <xf numFmtId="0" fontId="24" fillId="0" borderId="10" xfId="4495" applyFont="1" applyBorder="1"/>
    <xf numFmtId="0" fontId="130"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20"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20" fillId="0" borderId="61" xfId="4495" applyBorder="1"/>
    <xf numFmtId="0" fontId="120"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20"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20"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20"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3" fillId="0" borderId="0" xfId="4495" applyFont="1" applyAlignment="1">
      <alignment horizontal="left" vertical="top"/>
    </xf>
    <xf numFmtId="0" fontId="24"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2"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4"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4"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2" fontId="16" fillId="0" borderId="0" xfId="0" applyNumberFormat="1" applyFont="1"/>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3"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56"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56"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8"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1" fillId="0" borderId="0" xfId="4504" applyFont="1" applyAlignment="1" applyProtection="1">
      <alignment horizontal="center"/>
    </xf>
    <xf numFmtId="43" fontId="16" fillId="0" borderId="0" xfId="4504" applyFont="1" applyAlignment="1" applyProtection="1">
      <alignment horizontal="center"/>
    </xf>
    <xf numFmtId="43" fontId="16" fillId="0" borderId="0" xfId="4504"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1"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2" fillId="0" borderId="0" xfId="4495" applyFont="1"/>
    <xf numFmtId="10" fontId="122"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20" fillId="0" borderId="63" xfId="4495" applyBorder="1"/>
    <xf numFmtId="0" fontId="53"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62"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2"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82" fontId="98" fillId="0" borderId="11" xfId="4496" applyNumberFormat="1" applyFont="1" applyBorder="1" applyAlignment="1">
      <alignment horizontal="left"/>
    </xf>
    <xf numFmtId="1" fontId="98" fillId="0" borderId="0" xfId="4496" applyNumberFormat="1" applyFont="1"/>
    <xf numFmtId="2" fontId="98" fillId="0" borderId="0" xfId="4496" applyNumberFormat="1" applyFont="1" applyAlignment="1">
      <alignment horizontal="center"/>
    </xf>
    <xf numFmtId="2"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2"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Alignment="1" applyProtection="1">
      <alignment horizontal="center"/>
      <protection locked="0"/>
    </xf>
    <xf numFmtId="3" fontId="21" fillId="43" borderId="11" xfId="271" applyNumberFormat="1" applyFont="1" applyFill="1" applyBorder="1" applyProtection="1">
      <protection locked="0"/>
    </xf>
    <xf numFmtId="0" fontId="98" fillId="0" borderId="0" xfId="4496" applyFont="1" applyAlignment="1">
      <alignment horizontal="right"/>
    </xf>
    <xf numFmtId="168" fontId="25"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71" xfId="4496" applyFont="1" applyBorder="1" applyAlignment="1">
      <alignment horizontal="center" vertical="top" wrapText="1"/>
    </xf>
    <xf numFmtId="0" fontId="137" fillId="0" borderId="71" xfId="4496" applyFont="1" applyBorder="1" applyAlignment="1">
      <alignment horizontal="center"/>
    </xf>
    <xf numFmtId="0" fontId="167"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86"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98" fillId="0" borderId="15" xfId="4496" applyNumberFormat="1" applyFont="1" applyBorder="1"/>
    <xf numFmtId="182" fontId="137" fillId="0" borderId="71" xfId="8722" applyNumberFormat="1" applyFont="1" applyBorder="1" applyProtection="1"/>
    <xf numFmtId="9" fontId="98" fillId="0" borderId="15" xfId="4494" applyFont="1" applyFill="1" applyBorder="1" applyAlignment="1" applyProtection="1">
      <alignment horizontal="right"/>
    </xf>
    <xf numFmtId="182" fontId="137" fillId="0" borderId="71" xfId="4496" applyNumberFormat="1" applyFont="1" applyBorder="1"/>
    <xf numFmtId="0" fontId="167" fillId="0" borderId="0" xfId="4496" applyFont="1" applyAlignment="1">
      <alignment horizontal="right"/>
    </xf>
    <xf numFmtId="0" fontId="98" fillId="0" borderId="0" xfId="4496" applyFont="1" applyAlignment="1">
      <alignment horizontal="right" vertical="top" wrapText="1" indent="1"/>
    </xf>
    <xf numFmtId="182" fontId="98" fillId="0" borderId="6" xfId="8722"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2"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2"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70" xfId="4496" applyFont="1" applyBorder="1" applyAlignment="1">
      <alignment horizontal="right" indent="1"/>
    </xf>
    <xf numFmtId="0" fontId="98" fillId="0" borderId="80" xfId="4496" applyFont="1" applyBorder="1" applyAlignment="1">
      <alignment horizontal="right" indent="1"/>
    </xf>
    <xf numFmtId="0" fontId="98" fillId="0" borderId="80" xfId="4496" quotePrefix="1" applyFont="1" applyBorder="1" applyAlignment="1">
      <alignment horizontal="right" indent="1"/>
    </xf>
    <xf numFmtId="0" fontId="98" fillId="0" borderId="72" xfId="4496" applyFont="1" applyBorder="1" applyAlignment="1">
      <alignment horizontal="right" indent="1"/>
    </xf>
    <xf numFmtId="182" fontId="98" fillId="0" borderId="74" xfId="4496" applyNumberFormat="1" applyFont="1" applyBorder="1"/>
    <xf numFmtId="182" fontId="98" fillId="0" borderId="91" xfId="4496" applyNumberFormat="1" applyFont="1" applyBorder="1"/>
    <xf numFmtId="182" fontId="98" fillId="0" borderId="93" xfId="4496" applyNumberFormat="1" applyFont="1" applyBorder="1"/>
    <xf numFmtId="175" fontId="23" fillId="0" borderId="0" xfId="543" applyNumberFormat="1" applyFont="1" applyAlignment="1">
      <alignment vertical="center"/>
    </xf>
    <xf numFmtId="10" fontId="137" fillId="0" borderId="0" xfId="4494" applyNumberFormat="1" applyFont="1" applyProtection="1"/>
    <xf numFmtId="0" fontId="23"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71"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3" xfId="4496" applyNumberFormat="1" applyFont="1" applyBorder="1"/>
    <xf numFmtId="0" fontId="137" fillId="0" borderId="4" xfId="4496" applyFont="1" applyBorder="1" applyAlignment="1">
      <alignment horizontal="left" indent="1"/>
    </xf>
    <xf numFmtId="0" fontId="98" fillId="0" borderId="4" xfId="4496" applyFont="1" applyBorder="1"/>
    <xf numFmtId="0" fontId="34" fillId="0" borderId="0" xfId="4495" applyFont="1" applyAlignment="1">
      <alignment vertical="center"/>
    </xf>
    <xf numFmtId="0" fontId="122" fillId="0" borderId="0" xfId="4496" applyFont="1" applyAlignment="1">
      <alignment vertical="center" wrapText="1"/>
    </xf>
    <xf numFmtId="0" fontId="21" fillId="43" borderId="0" xfId="1192" applyFont="1" applyFill="1"/>
    <xf numFmtId="3" fontId="68" fillId="43" borderId="6" xfId="1192" applyNumberFormat="1" applyFont="1" applyFill="1" applyBorder="1"/>
    <xf numFmtId="0" fontId="169" fillId="0" borderId="0" xfId="0" applyFont="1"/>
    <xf numFmtId="0" fontId="21" fillId="0" borderId="11" xfId="253" applyFont="1" applyBorder="1" applyAlignment="1" applyProtection="1">
      <alignment horizontal="center" wrapText="1"/>
      <protection locked="0"/>
    </xf>
    <xf numFmtId="0" fontId="170" fillId="0" borderId="0" xfId="0" applyFont="1"/>
    <xf numFmtId="0" fontId="171"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6" fillId="43" borderId="3" xfId="569" applyFill="1" applyBorder="1"/>
    <xf numFmtId="0" fontId="176" fillId="0" borderId="0" xfId="0" applyFont="1" applyAlignment="1">
      <alignment horizontal="right"/>
    </xf>
    <xf numFmtId="1" fontId="24"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 fillId="0" borderId="0" xfId="8726"/>
    <xf numFmtId="0" fontId="103" fillId="0" borderId="0" xfId="8726" applyFont="1"/>
    <xf numFmtId="0" fontId="155" fillId="0" borderId="0" xfId="8726" applyFont="1"/>
    <xf numFmtId="0" fontId="4" fillId="48" borderId="44" xfId="8726" applyFill="1" applyBorder="1"/>
    <xf numFmtId="0" fontId="4" fillId="48" borderId="42" xfId="8726" applyFill="1" applyBorder="1"/>
    <xf numFmtId="0" fontId="4" fillId="48" borderId="41" xfId="8726" applyFill="1" applyBorder="1"/>
    <xf numFmtId="0" fontId="4" fillId="44" borderId="44" xfId="8726" applyFill="1" applyBorder="1"/>
    <xf numFmtId="0" fontId="4" fillId="44" borderId="42" xfId="8726" applyFill="1" applyBorder="1"/>
    <xf numFmtId="0" fontId="4" fillId="44" borderId="86" xfId="8726" applyFill="1" applyBorder="1"/>
    <xf numFmtId="0" fontId="4" fillId="48" borderId="0" xfId="8726" applyFill="1"/>
    <xf numFmtId="0" fontId="4" fillId="44" borderId="41" xfId="8726" applyFill="1" applyBorder="1"/>
    <xf numFmtId="0" fontId="4" fillId="44" borderId="0" xfId="8726" applyFill="1"/>
    <xf numFmtId="0" fontId="4" fillId="44" borderId="66" xfId="8726" applyFill="1" applyBorder="1"/>
    <xf numFmtId="0" fontId="4" fillId="44" borderId="0" xfId="8726" applyFill="1" applyAlignment="1">
      <alignment horizontal="left"/>
    </xf>
    <xf numFmtId="0" fontId="4" fillId="48" borderId="86" xfId="8726" applyFill="1" applyBorder="1"/>
    <xf numFmtId="0" fontId="4" fillId="48" borderId="66" xfId="8726" applyFill="1" applyBorder="1"/>
    <xf numFmtId="49" fontId="102" fillId="48" borderId="66" xfId="8726" applyNumberFormat="1" applyFont="1" applyFill="1" applyBorder="1" applyAlignment="1">
      <alignment horizontal="right" vertical="top"/>
    </xf>
    <xf numFmtId="0" fontId="102" fillId="48" borderId="0" xfId="8726" applyFont="1" applyFill="1"/>
    <xf numFmtId="0" fontId="102" fillId="48" borderId="66" xfId="8726" applyFont="1" applyFill="1" applyBorder="1"/>
    <xf numFmtId="0" fontId="102" fillId="48" borderId="41" xfId="8726" applyFont="1" applyFill="1" applyBorder="1" applyAlignment="1">
      <alignment horizontal="center"/>
    </xf>
    <xf numFmtId="0" fontId="103" fillId="48" borderId="0" xfId="8726" applyFont="1" applyFill="1"/>
    <xf numFmtId="0" fontId="4" fillId="48" borderId="69" xfId="8726" applyFill="1" applyBorder="1"/>
    <xf numFmtId="168" fontId="159" fillId="48" borderId="68" xfId="700" applyNumberFormat="1" applyFont="1" applyFill="1" applyBorder="1" applyAlignment="1" applyProtection="1">
      <protection locked="0"/>
    </xf>
    <xf numFmtId="0" fontId="164" fillId="48" borderId="0" xfId="8726" applyFont="1" applyFill="1"/>
    <xf numFmtId="0" fontId="149" fillId="47" borderId="91" xfId="8726" applyFont="1" applyFill="1" applyBorder="1" applyAlignment="1">
      <alignment horizontal="center"/>
    </xf>
    <xf numFmtId="0" fontId="149" fillId="47" borderId="11" xfId="8726" applyFont="1" applyFill="1" applyBorder="1" applyAlignment="1">
      <alignment horizontal="center"/>
    </xf>
    <xf numFmtId="0" fontId="163" fillId="47" borderId="91" xfId="8726" applyFont="1" applyFill="1" applyBorder="1"/>
    <xf numFmtId="0" fontId="163" fillId="47" borderId="11" xfId="8726" applyFont="1" applyFill="1" applyBorder="1"/>
    <xf numFmtId="0" fontId="4" fillId="45" borderId="69" xfId="8726" applyFill="1" applyBorder="1"/>
    <xf numFmtId="0" fontId="4" fillId="45" borderId="68" xfId="8726" applyFill="1" applyBorder="1"/>
    <xf numFmtId="0" fontId="102" fillId="45" borderId="68" xfId="8726" applyFont="1" applyFill="1" applyBorder="1"/>
    <xf numFmtId="0" fontId="102" fillId="45" borderId="67" xfId="8726" applyFont="1" applyFill="1" applyBorder="1"/>
    <xf numFmtId="0" fontId="102" fillId="45" borderId="69" xfId="8726" applyFont="1" applyFill="1" applyBorder="1"/>
    <xf numFmtId="0" fontId="4" fillId="48" borderId="0" xfId="8726" applyFill="1" applyAlignment="1">
      <alignment horizontal="left"/>
    </xf>
    <xf numFmtId="0" fontId="153" fillId="48" borderId="0" xfId="8726" applyFont="1" applyFill="1"/>
    <xf numFmtId="0" fontId="102" fillId="45" borderId="89" xfId="8726" applyFont="1" applyFill="1" applyBorder="1"/>
    <xf numFmtId="0" fontId="102" fillId="45" borderId="76" xfId="8726" applyFont="1" applyFill="1" applyBorder="1"/>
    <xf numFmtId="0" fontId="102" fillId="45" borderId="75" xfId="8726" applyFont="1" applyFill="1" applyBorder="1"/>
    <xf numFmtId="0" fontId="102" fillId="45" borderId="31" xfId="8726" applyFont="1" applyFill="1" applyBorder="1"/>
    <xf numFmtId="0" fontId="102" fillId="45" borderId="29" xfId="8726" applyFont="1" applyFill="1" applyBorder="1"/>
    <xf numFmtId="0" fontId="102" fillId="45" borderId="65" xfId="8726" applyFont="1" applyFill="1" applyBorder="1"/>
    <xf numFmtId="0" fontId="4" fillId="45" borderId="83" xfId="8726" applyFill="1" applyBorder="1"/>
    <xf numFmtId="0" fontId="4" fillId="45" borderId="82" xfId="8726" applyFill="1" applyBorder="1"/>
    <xf numFmtId="0" fontId="4" fillId="45" borderId="81" xfId="8726" applyFill="1" applyBorder="1"/>
    <xf numFmtId="0" fontId="102" fillId="45" borderId="81" xfId="8726" applyFont="1" applyFill="1" applyBorder="1"/>
    <xf numFmtId="0" fontId="4" fillId="45" borderId="31" xfId="8726" applyFill="1" applyBorder="1"/>
    <xf numFmtId="0" fontId="4" fillId="45" borderId="29" xfId="8726" applyFill="1" applyBorder="1"/>
    <xf numFmtId="0" fontId="4" fillId="45" borderId="67" xfId="8726" applyFill="1" applyBorder="1"/>
    <xf numFmtId="0" fontId="86" fillId="0" borderId="0" xfId="8726" applyFont="1"/>
    <xf numFmtId="0" fontId="4" fillId="45" borderId="99" xfId="8726" applyFill="1" applyBorder="1"/>
    <xf numFmtId="0" fontId="4" fillId="45" borderId="65" xfId="8726" applyFill="1" applyBorder="1"/>
    <xf numFmtId="0" fontId="102" fillId="45" borderId="28" xfId="8726" applyFont="1" applyFill="1" applyBorder="1"/>
    <xf numFmtId="0" fontId="4" fillId="52" borderId="101" xfId="8726" applyFill="1" applyBorder="1"/>
    <xf numFmtId="0" fontId="4" fillId="51" borderId="101" xfId="8726" applyFill="1" applyBorder="1"/>
    <xf numFmtId="0" fontId="102" fillId="50" borderId="100" xfId="8726" applyFont="1" applyFill="1" applyBorder="1"/>
    <xf numFmtId="0" fontId="102" fillId="0" borderId="0" xfId="8726" applyFont="1"/>
    <xf numFmtId="0" fontId="102" fillId="48" borderId="41" xfId="8726" applyFont="1" applyFill="1" applyBorder="1"/>
    <xf numFmtId="0" fontId="151" fillId="48" borderId="0" xfId="8726" applyFont="1" applyFill="1"/>
    <xf numFmtId="182" fontId="165" fillId="48" borderId="0" xfId="8727" applyNumberFormat="1" applyFont="1" applyFill="1" applyBorder="1" applyAlignment="1"/>
    <xf numFmtId="0" fontId="23" fillId="0" borderId="4" xfId="569" applyFont="1" applyBorder="1" applyAlignment="1">
      <alignment horizontal="center"/>
    </xf>
    <xf numFmtId="43" fontId="23" fillId="0" borderId="0" xfId="4504"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43" fontId="16" fillId="0" borderId="0" xfId="4504"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3"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5" fillId="0" borderId="0" xfId="0" applyFont="1" applyAlignment="1">
      <alignment horizontal="left" vertical="top" wrapText="1"/>
    </xf>
    <xf numFmtId="0" fontId="34" fillId="0" borderId="0" xfId="569" applyFont="1" applyAlignment="1">
      <alignment horizontal="left"/>
    </xf>
    <xf numFmtId="4" fontId="16" fillId="0" borderId="0" xfId="569" applyNumberFormat="1" applyAlignment="1">
      <alignment horizontal="left"/>
    </xf>
    <xf numFmtId="0" fontId="16" fillId="0" borderId="0" xfId="569" applyAlignment="1">
      <alignment horizontal="left" vertical="top" wrapText="1"/>
    </xf>
    <xf numFmtId="4" fontId="34" fillId="0" borderId="0" xfId="569" applyNumberFormat="1" applyFont="1" applyAlignment="1">
      <alignment horizontal="left" vertical="top" wrapText="1"/>
    </xf>
    <xf numFmtId="4" fontId="16" fillId="0" borderId="0" xfId="569" applyNumberFormat="1" applyAlignment="1">
      <alignment horizontal="left" vertical="top" wrapText="1"/>
    </xf>
    <xf numFmtId="0" fontId="25" fillId="0" borderId="0" xfId="0" applyFont="1" applyAlignment="1">
      <alignment horizontal="left" vertical="top"/>
    </xf>
    <xf numFmtId="0" fontId="34" fillId="0" borderId="0" xfId="0" applyFont="1" applyAlignment="1">
      <alignment horizontal="left"/>
    </xf>
    <xf numFmtId="0" fontId="16" fillId="0" borderId="0" xfId="0" applyFont="1" applyAlignment="1">
      <alignment horizontal="left"/>
    </xf>
    <xf numFmtId="0" fontId="23" fillId="0" borderId="4" xfId="569" applyFont="1" applyBorder="1" applyAlignment="1">
      <alignment horizontal="left"/>
    </xf>
    <xf numFmtId="0" fontId="23" fillId="0" borderId="4" xfId="569" applyFont="1" applyBorder="1" applyAlignment="1">
      <alignment horizontal="left" vertical="top"/>
    </xf>
    <xf numFmtId="0" fontId="34" fillId="0" borderId="0" xfId="0" applyFont="1" applyAlignment="1">
      <alignment horizontal="left" wrapText="1"/>
    </xf>
    <xf numFmtId="0" fontId="16" fillId="0" borderId="0" xfId="0" applyFont="1" applyAlignment="1">
      <alignment horizontal="left" vertical="top"/>
    </xf>
    <xf numFmtId="0" fontId="23" fillId="0" borderId="0" xfId="0" applyFont="1" applyAlignment="1">
      <alignment horizontal="left"/>
    </xf>
    <xf numFmtId="0" fontId="25" fillId="0" borderId="0" xfId="0" applyFont="1" applyAlignment="1">
      <alignment horizontal="left"/>
    </xf>
    <xf numFmtId="0" fontId="17" fillId="0" borderId="0" xfId="244" quotePrefix="1" applyAlignment="1" applyProtection="1">
      <alignment horizontal="left"/>
    </xf>
    <xf numFmtId="0" fontId="23" fillId="0" borderId="4" xfId="0" applyFont="1" applyBorder="1" applyAlignment="1">
      <alignment horizontal="left"/>
    </xf>
    <xf numFmtId="0" fontId="34" fillId="0" borderId="0" xfId="569" applyFont="1" applyAlignment="1">
      <alignment horizontal="left" vertical="top"/>
    </xf>
    <xf numFmtId="0" fontId="16" fillId="0" borderId="0" xfId="569" applyAlignment="1">
      <alignment horizontal="left" vertical="top"/>
    </xf>
    <xf numFmtId="0" fontId="23" fillId="0" borderId="0" xfId="569" applyFont="1" applyAlignment="1">
      <alignment horizontal="left" vertical="top"/>
    </xf>
    <xf numFmtId="0" fontId="34" fillId="0" borderId="0" xfId="0" applyFont="1" applyAlignment="1">
      <alignment horizontal="left" vertical="top" wrapText="1"/>
    </xf>
    <xf numFmtId="4" fontId="16" fillId="0" borderId="0" xfId="0" applyNumberFormat="1" applyFont="1" applyAlignment="1">
      <alignment horizontal="left" vertical="top" wrapText="1"/>
    </xf>
    <xf numFmtId="4" fontId="34" fillId="0" borderId="0" xfId="0" applyNumberFormat="1" applyFont="1" applyAlignment="1">
      <alignment horizontal="left"/>
    </xf>
    <xf numFmtId="4" fontId="17" fillId="0" borderId="0" xfId="244" applyNumberFormat="1" applyFill="1" applyAlignment="1" applyProtection="1">
      <alignment horizontal="left"/>
    </xf>
    <xf numFmtId="0" fontId="16" fillId="0" borderId="0" xfId="271" applyFont="1" applyAlignment="1">
      <alignment horizontal="left" vertical="top" wrapText="1"/>
    </xf>
    <xf numFmtId="4" fontId="16" fillId="0" borderId="0" xfId="1192" applyNumberFormat="1" applyAlignment="1">
      <alignment horizontal="left" vertical="top" wrapText="1"/>
    </xf>
    <xf numFmtId="0" fontId="34" fillId="0" borderId="0" xfId="0" applyFont="1" applyAlignment="1">
      <alignment horizontal="center"/>
    </xf>
    <xf numFmtId="0" fontId="0" fillId="0" borderId="0" xfId="0" applyAlignment="1">
      <alignment horizontal="center"/>
    </xf>
    <xf numFmtId="0" fontId="23" fillId="0" borderId="0" xfId="0" applyFont="1" applyAlignment="1">
      <alignment horizontal="center"/>
    </xf>
    <xf numFmtId="49" fontId="16" fillId="0" borderId="0" xfId="0" applyNumberFormat="1" applyFont="1" applyAlignment="1">
      <alignment horizontal="left" vertical="top" wrapText="1"/>
    </xf>
    <xf numFmtId="49" fontId="16" fillId="0" borderId="0" xfId="1192" applyNumberFormat="1" applyAlignment="1">
      <alignment horizontal="left" vertical="top" wrapText="1"/>
    </xf>
    <xf numFmtId="0" fontId="34" fillId="0" borderId="0" xfId="569" applyFont="1" applyAlignment="1">
      <alignment horizontal="left" vertical="top" wrapText="1"/>
    </xf>
    <xf numFmtId="0" fontId="16" fillId="0" borderId="0" xfId="569" applyAlignment="1">
      <alignment horizontal="left"/>
    </xf>
    <xf numFmtId="0" fontId="17" fillId="0" borderId="0" xfId="244" applyAlignment="1">
      <alignment horizontal="left"/>
    </xf>
    <xf numFmtId="0" fontId="23" fillId="0" borderId="16" xfId="0" applyFont="1" applyBorder="1" applyAlignment="1">
      <alignment horizontal="left"/>
    </xf>
    <xf numFmtId="0" fontId="16" fillId="0" borderId="27" xfId="0" applyFont="1" applyBorder="1" applyAlignment="1">
      <alignment horizontal="left"/>
    </xf>
    <xf numFmtId="0" fontId="16" fillId="0" borderId="0" xfId="1192" applyAlignment="1">
      <alignment horizontal="left"/>
    </xf>
    <xf numFmtId="0" fontId="0" fillId="0" borderId="0" xfId="0" applyAlignment="1">
      <alignment horizontal="left" vertical="top" wrapText="1"/>
    </xf>
    <xf numFmtId="0" fontId="16" fillId="0" borderId="0" xfId="271" applyFont="1" applyAlignment="1" applyProtection="1">
      <alignment horizontal="left" vertical="top" wrapText="1"/>
      <protection locked="0"/>
    </xf>
    <xf numFmtId="0" fontId="34" fillId="0" borderId="0" xfId="1192" applyFont="1" applyAlignment="1">
      <alignment horizontal="left"/>
    </xf>
    <xf numFmtId="0" fontId="23" fillId="0" borderId="0" xfId="271" applyFont="1" applyAlignment="1">
      <alignment horizontal="left" vertical="top" wrapText="1"/>
    </xf>
    <xf numFmtId="0" fontId="114" fillId="0" borderId="0" xfId="569" applyFont="1" applyAlignment="1">
      <alignment horizontal="center"/>
    </xf>
    <xf numFmtId="0" fontId="115"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15" xfId="569" applyBorder="1" applyAlignment="1">
      <alignment horizontal="center" vertical="top" wrapText="1"/>
    </xf>
    <xf numFmtId="0" fontId="16" fillId="0" borderId="14" xfId="569" applyBorder="1" applyAlignment="1">
      <alignment horizontal="center" vertical="top" wrapText="1"/>
    </xf>
    <xf numFmtId="0" fontId="16" fillId="0" borderId="13" xfId="569" applyBorder="1" applyAlignment="1">
      <alignment horizontal="center" vertical="top" wrapText="1"/>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23" fillId="0" borderId="4" xfId="0" applyFont="1" applyBorder="1" applyAlignment="1">
      <alignment horizontal="left" vertical="top"/>
    </xf>
    <xf numFmtId="0" fontId="23" fillId="0" borderId="16" xfId="569" applyFont="1" applyBorder="1" applyAlignment="1">
      <alignment horizontal="left"/>
    </xf>
    <xf numFmtId="0" fontId="16" fillId="0" borderId="0" xfId="569" applyAlignment="1">
      <alignment horizontal="left" vertical="center" wrapText="1"/>
    </xf>
    <xf numFmtId="0" fontId="23" fillId="0" borderId="0" xfId="0" applyFont="1" applyAlignment="1">
      <alignment horizontal="left" vertical="top"/>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34" fillId="0" borderId="0" xfId="1192" applyFont="1" applyAlignment="1">
      <alignment horizontal="left" vertical="top" wrapText="1"/>
    </xf>
    <xf numFmtId="0" fontId="23" fillId="0" borderId="0" xfId="1192" applyFont="1" applyAlignment="1">
      <alignment horizontal="left" vertical="top" wrapText="1"/>
    </xf>
    <xf numFmtId="4" fontId="16" fillId="0" borderId="0" xfId="0" applyNumberFormat="1" applyFont="1" applyAlignment="1">
      <alignment horizontal="left"/>
    </xf>
    <xf numFmtId="0" fontId="23" fillId="0" borderId="0" xfId="0" applyFont="1" applyAlignment="1">
      <alignmen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0" applyFont="1" applyAlignment="1">
      <alignment horizontal="left" vertical="top"/>
    </xf>
    <xf numFmtId="0" fontId="0" fillId="0" borderId="11" xfId="0"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0" fontId="0" fillId="5" borderId="6" xfId="0"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66" fontId="25" fillId="5" borderId="4" xfId="0" applyNumberFormat="1" applyFont="1" applyFill="1" applyBorder="1" applyAlignment="1" applyProtection="1">
      <alignment horizontal="left"/>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11" xfId="0" applyFont="1" applyBorder="1" applyAlignment="1">
      <alignment horizontal="center"/>
    </xf>
    <xf numFmtId="0" fontId="25" fillId="2" borderId="11" xfId="0" applyFont="1" applyFill="1" applyBorder="1" applyAlignment="1">
      <alignment horizontal="center"/>
    </xf>
    <xf numFmtId="0" fontId="25" fillId="45" borderId="11" xfId="0" applyFont="1" applyFill="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0" fillId="0" borderId="12" xfId="0"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23" fillId="0" borderId="9" xfId="0" applyFont="1" applyBorder="1" applyAlignment="1">
      <alignment horizontal="center"/>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4" xfId="0" applyFont="1" applyBorder="1" applyAlignment="1">
      <alignment horizontal="center"/>
    </xf>
    <xf numFmtId="0" fontId="23" fillId="0" borderId="5" xfId="0" applyFont="1" applyBorder="1" applyAlignment="1">
      <alignment horizontal="center"/>
    </xf>
    <xf numFmtId="0" fontId="16" fillId="5" borderId="11" xfId="0" applyFon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0" borderId="6" xfId="0" applyFont="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5" fillId="5" borderId="11" xfId="0" applyNumberFormat="1"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25"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25" fillId="5" borderId="11" xfId="0" applyFont="1" applyFill="1" applyBorder="1" applyAlignment="1" applyProtection="1">
      <alignment horizontal="center"/>
      <protection locked="0"/>
    </xf>
    <xf numFmtId="10" fontId="25"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center"/>
    </xf>
    <xf numFmtId="0" fontId="0" fillId="43" borderId="10"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4"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25" fillId="0" borderId="11" xfId="0" applyNumberFormat="1" applyFont="1" applyBorder="1" applyAlignment="1">
      <alignment horizontal="center"/>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25" fillId="0" borderId="6" xfId="0" applyFont="1" applyBorder="1" applyAlignment="1">
      <alignment horizontal="left"/>
    </xf>
    <xf numFmtId="0" fontId="35" fillId="5" borderId="6" xfId="0" applyFont="1" applyFill="1" applyBorder="1" applyAlignment="1" applyProtection="1">
      <alignment horizontal="left"/>
      <protection locked="0"/>
    </xf>
    <xf numFmtId="3" fontId="0" fillId="0" borderId="6" xfId="0" applyNumberFormat="1" applyBorder="1" applyAlignment="1">
      <alignment horizontal="right"/>
    </xf>
    <xf numFmtId="0" fontId="0" fillId="0" borderId="6" xfId="0" applyBorder="1" applyAlignment="1" applyProtection="1">
      <alignment horizont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43" borderId="6" xfId="0"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left" vertical="center" wrapText="1"/>
      <protection locked="0"/>
    </xf>
    <xf numFmtId="0" fontId="169" fillId="0" borderId="0" xfId="0" applyFont="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3" fontId="25" fillId="0" borderId="11" xfId="0" applyNumberFormat="1" applyFont="1" applyBorder="1" applyAlignment="1">
      <alignment horizontal="center"/>
    </xf>
    <xf numFmtId="0" fontId="16" fillId="5" borderId="4" xfId="0" applyFont="1" applyFill="1" applyBorder="1" applyAlignment="1" applyProtection="1">
      <alignment horizontal="left"/>
      <protection locked="0"/>
    </xf>
    <xf numFmtId="0" fontId="25" fillId="0" borderId="3" xfId="0" applyFont="1" applyBorder="1" applyAlignment="1">
      <alignment horizontal="center"/>
    </xf>
    <xf numFmtId="0" fontId="25" fillId="0" borderId="5" xfId="0" applyFont="1"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16" fillId="0" borderId="11" xfId="543"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0" xfId="0" applyAlignment="1">
      <alignment wrapText="1"/>
    </xf>
    <xf numFmtId="0" fontId="25" fillId="0" borderId="0" xfId="0" applyFont="1" applyAlignment="1">
      <alignment horizontal="left" vertical="top" wrapText="1"/>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0" fontId="16"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7" fillId="0" borderId="0" xfId="244" applyFill="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0" borderId="0" xfId="0" applyFont="1" applyAlignment="1" applyProtection="1">
      <alignment horizontal="left"/>
      <protection locked="0"/>
    </xf>
    <xf numFmtId="14" fontId="0" fillId="5" borderId="6"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6" fillId="0" borderId="6" xfId="0" applyFont="1" applyBorder="1" applyAlignment="1">
      <alignment horizontal="left"/>
    </xf>
    <xf numFmtId="0" fontId="16" fillId="43" borderId="0" xfId="0" applyFont="1" applyFill="1" applyAlignment="1" applyProtection="1">
      <alignment horizontal="left" vertical="center" wrapText="1"/>
      <protection locked="0"/>
    </xf>
    <xf numFmtId="0" fontId="16"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68" fontId="16" fillId="0" borderId="6" xfId="0" applyNumberFormat="1" applyFont="1" applyBorder="1" applyAlignment="1">
      <alignment horizontal="center"/>
    </xf>
    <xf numFmtId="166" fontId="16" fillId="5" borderId="6" xfId="0" applyNumberFormat="1" applyFont="1"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5" borderId="4" xfId="0" applyFont="1" applyFill="1" applyBorder="1" applyAlignment="1" applyProtection="1">
      <alignment wrapText="1"/>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3" fillId="5" borderId="11" xfId="0" applyFont="1" applyFill="1" applyBorder="1" applyAlignment="1" applyProtection="1">
      <alignment horizontal="center"/>
      <protection locked="0"/>
    </xf>
    <xf numFmtId="168" fontId="0" fillId="0" borderId="11" xfId="0" applyNumberFormat="1" applyBorder="1" applyAlignment="1">
      <alignment horizontal="center"/>
    </xf>
    <xf numFmtId="0" fontId="16" fillId="43" borderId="11" xfId="0" applyFont="1" applyFill="1" applyBorder="1" applyAlignment="1" applyProtection="1">
      <alignment horizontal="center"/>
      <protection locked="0"/>
    </xf>
    <xf numFmtId="0" fontId="25" fillId="5" borderId="6" xfId="271" applyFill="1" applyBorder="1" applyProtection="1">
      <protection locked="0"/>
    </xf>
    <xf numFmtId="0" fontId="23" fillId="0" borderId="0" xfId="0" applyFont="1" applyAlignment="1">
      <alignment horizontal="center" vertical="center"/>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2" fontId="16" fillId="0" borderId="0" xfId="543" applyNumberFormat="1" applyAlignment="1">
      <alignment horizontal="center"/>
    </xf>
    <xf numFmtId="0" fontId="16" fillId="0" borderId="0" xfId="543" applyAlignment="1">
      <alignment horizontal="center"/>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71" fontId="16" fillId="0" borderId="0" xfId="543" applyNumberFormat="1" applyAlignment="1">
      <alignment horizontal="center"/>
    </xf>
    <xf numFmtId="171" fontId="16"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9" fontId="16" fillId="0" borderId="0" xfId="543" applyNumberFormat="1" applyAlignment="1">
      <alignment horizontal="center" vertical="center"/>
    </xf>
    <xf numFmtId="0" fontId="23" fillId="0" borderId="2" xfId="0" applyFont="1" applyBorder="1" applyAlignment="1">
      <alignment horizontal="right"/>
    </xf>
    <xf numFmtId="0" fontId="23" fillId="0" borderId="7" xfId="0" applyFont="1" applyBorder="1" applyAlignment="1">
      <alignment horizontal="right"/>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168" fontId="0" fillId="0" borderId="11" xfId="0" applyNumberFormat="1" applyBorder="1"/>
    <xf numFmtId="168" fontId="0" fillId="0" borderId="3" xfId="0" applyNumberFormat="1" applyBorder="1"/>
    <xf numFmtId="168" fontId="0" fillId="0" borderId="4" xfId="0" applyNumberFormat="1" applyBorder="1"/>
    <xf numFmtId="168" fontId="0" fillId="0" borderId="5" xfId="0" applyNumberFormat="1" applyBorder="1"/>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2" fillId="3" borderId="0" xfId="0" applyFont="1" applyFill="1" applyAlignment="1">
      <alignment horizontal="center" vertic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53" fillId="5" borderId="3" xfId="0" applyFont="1" applyFill="1" applyBorder="1" applyAlignment="1" applyProtection="1">
      <alignment horizontal="center"/>
      <protection locked="0"/>
    </xf>
    <xf numFmtId="0" fontId="53" fillId="5" borderId="4" xfId="0" applyFont="1" applyFill="1" applyBorder="1" applyAlignment="1" applyProtection="1">
      <alignment horizontal="center"/>
      <protection locked="0"/>
    </xf>
    <xf numFmtId="0" fontId="53" fillId="5" borderId="5" xfId="0" applyFon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5" fillId="0" borderId="4" xfId="0" applyFont="1"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23" fillId="0" borderId="11" xfId="0" applyFont="1" applyBorder="1" applyAlignment="1">
      <alignment horizontal="center" vertical="center" wrapText="1"/>
    </xf>
    <xf numFmtId="2" fontId="0" fillId="0" borderId="6" xfId="0" applyNumberFormat="1" applyBorder="1" applyAlignment="1">
      <alignment horizontal="center"/>
    </xf>
    <xf numFmtId="16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5" fillId="0" borderId="3" xfId="0" applyFont="1" applyBorder="1" applyAlignment="1">
      <alignment horizontal="left"/>
    </xf>
    <xf numFmtId="180" fontId="0" fillId="0" borderId="6" xfId="0" applyNumberFormat="1" applyBorder="1" applyAlignment="1">
      <alignment horizontal="center"/>
    </xf>
    <xf numFmtId="0" fontId="16" fillId="0" borderId="0" xfId="0" applyFont="1" applyAlignment="1">
      <alignment wrapText="1"/>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0" borderId="11" xfId="0" applyFont="1" applyBorder="1" applyAlignment="1">
      <alignment horizontal="center"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23" fillId="0" borderId="1"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168" fillId="0" borderId="8" xfId="543" applyFont="1" applyBorder="1" applyAlignment="1">
      <alignment horizontal="center" vertical="center" wrapText="1"/>
    </xf>
    <xf numFmtId="0" fontId="168" fillId="0" borderId="0" xfId="543" applyFont="1" applyAlignment="1">
      <alignment horizontal="center" vertical="center" wrapText="1"/>
    </xf>
    <xf numFmtId="0" fontId="168" fillId="0" borderId="12" xfId="543" applyFont="1" applyBorder="1" applyAlignment="1">
      <alignment horizontal="center" vertic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9" fontId="16" fillId="5" borderId="3" xfId="0" applyNumberFormat="1" applyFont="1" applyFill="1" applyBorder="1" applyAlignment="1" applyProtection="1">
      <alignment horizontal="right"/>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left" wrapText="1"/>
      <protection locked="0"/>
    </xf>
    <xf numFmtId="168" fontId="172" fillId="0" borderId="0" xfId="0" applyNumberFormat="1" applyFont="1" applyAlignment="1">
      <alignment horizontal="center" vertical="center" wrapText="1"/>
    </xf>
    <xf numFmtId="0" fontId="23" fillId="0" borderId="11" xfId="0" applyFont="1" applyBorder="1" applyAlignment="1">
      <alignment horizontal="center" vertical="center"/>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77" fillId="0" borderId="8" xfId="543" applyFont="1" applyBorder="1" applyAlignment="1">
      <alignment horizontal="center" wrapText="1"/>
    </xf>
    <xf numFmtId="0" fontId="177" fillId="0" borderId="0" xfId="543" applyFont="1" applyAlignment="1">
      <alignment horizontal="center" wrapText="1"/>
    </xf>
    <xf numFmtId="0" fontId="177" fillId="0" borderId="12" xfId="543" applyFont="1" applyBorder="1" applyAlignment="1">
      <alignment horizontal="center" wrapText="1"/>
    </xf>
    <xf numFmtId="0" fontId="177" fillId="0" borderId="9" xfId="543" applyFont="1" applyBorder="1" applyAlignment="1">
      <alignment horizontal="center" wrapText="1"/>
    </xf>
    <xf numFmtId="0" fontId="177" fillId="0" borderId="6" xfId="543" applyFont="1" applyBorder="1" applyAlignment="1">
      <alignment horizontal="center" wrapText="1"/>
    </xf>
    <xf numFmtId="0" fontId="177" fillId="0" borderId="10" xfId="543" applyFont="1" applyBorder="1" applyAlignment="1">
      <alignment horizontal="center" wrapText="1"/>
    </xf>
    <xf numFmtId="0" fontId="177" fillId="0" borderId="8" xfId="543" applyFont="1" applyBorder="1" applyAlignment="1">
      <alignment horizontal="center" vertical="top" wrapText="1"/>
    </xf>
    <xf numFmtId="0" fontId="177" fillId="0" borderId="0" xfId="543" applyFont="1" applyAlignment="1">
      <alignment horizontal="center" vertical="top" wrapText="1"/>
    </xf>
    <xf numFmtId="0" fontId="177" fillId="0" borderId="12" xfId="543" applyFont="1" applyBorder="1" applyAlignment="1">
      <alignment horizontal="center" vertical="top" wrapText="1"/>
    </xf>
    <xf numFmtId="0" fontId="177" fillId="0" borderId="9" xfId="543" applyFont="1" applyBorder="1" applyAlignment="1">
      <alignment horizontal="center" vertical="top" wrapText="1"/>
    </xf>
    <xf numFmtId="0" fontId="177" fillId="0" borderId="6" xfId="543" applyFont="1" applyBorder="1" applyAlignment="1">
      <alignment horizontal="center" vertical="top" wrapText="1"/>
    </xf>
    <xf numFmtId="0" fontId="177" fillId="0" borderId="10" xfId="543" applyFont="1" applyBorder="1" applyAlignment="1">
      <alignment horizontal="center" vertical="top" wrapText="1"/>
    </xf>
    <xf numFmtId="0" fontId="172" fillId="0" borderId="0" xfId="0" applyFont="1" applyAlignment="1">
      <alignment horizontal="center" vertical="center" wrapText="1"/>
    </xf>
    <xf numFmtId="3" fontId="44" fillId="10" borderId="0" xfId="543" applyNumberFormat="1" applyFont="1" applyFill="1" applyAlignment="1">
      <alignment horizontal="left" vertical="center" wrapText="1"/>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82" fontId="24" fillId="43" borderId="11" xfId="8722" applyNumberFormat="1" applyFont="1" applyFill="1" applyBorder="1" applyAlignment="1" applyProtection="1">
      <alignment horizontal="center" vertical="center"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5"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2"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0" xfId="4495" applyNumberFormat="1" applyFont="1" applyAlignment="1">
      <alignment horizontal="center"/>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3" fillId="0" borderId="0" xfId="4495" applyFont="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0" xfId="4495" applyFont="1" applyAlignment="1">
      <alignment horizontal="right"/>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30"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0" fontId="16" fillId="0" borderId="6" xfId="1192" applyBorder="1" applyAlignment="1">
      <alignment horizontal="left"/>
    </xf>
    <xf numFmtId="9" fontId="16" fillId="5" borderId="4" xfId="1192" applyNumberFormat="1" applyFill="1" applyBorder="1" applyAlignment="1" applyProtection="1">
      <alignment horizontal="left"/>
      <protection locked="0"/>
    </xf>
    <xf numFmtId="0" fontId="16" fillId="0" borderId="6" xfId="1192" applyBorder="1" applyAlignment="1">
      <alignment horizontal="right"/>
    </xf>
    <xf numFmtId="168" fontId="16" fillId="43" borderId="6" xfId="1192" applyNumberFormat="1" applyFill="1" applyBorder="1" applyAlignment="1" applyProtection="1">
      <alignment horizontal="right"/>
      <protection locked="0"/>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5" borderId="50" xfId="4495" applyFill="1" applyBorder="1" applyAlignment="1">
      <alignment horizontal="center"/>
    </xf>
    <xf numFmtId="0" fontId="120" fillId="5" borderId="51" xfId="4495" applyFill="1" applyBorder="1" applyAlignment="1">
      <alignment horizontal="center"/>
    </xf>
    <xf numFmtId="0" fontId="120" fillId="0" borderId="53" xfId="4495" applyBorder="1" applyAlignment="1">
      <alignment horizontal="center"/>
    </xf>
    <xf numFmtId="0" fontId="120" fillId="0" borderId="0" xfId="4495" applyAlignment="1">
      <alignment horizontal="center"/>
    </xf>
    <xf numFmtId="0" fontId="24" fillId="5" borderId="0" xfId="4495" applyFont="1" applyFill="1" applyAlignment="1">
      <alignment horizontal="left" vertical="top"/>
    </xf>
    <xf numFmtId="0" fontId="120" fillId="5" borderId="53" xfId="4495" applyFill="1" applyBorder="1" applyAlignment="1">
      <alignment horizontal="center"/>
    </xf>
    <xf numFmtId="0" fontId="120" fillId="5" borderId="0" xfId="4495" applyFill="1" applyAlignment="1">
      <alignment horizontal="center"/>
    </xf>
    <xf numFmtId="0" fontId="24" fillId="0" borderId="58" xfId="4495" applyFont="1" applyBorder="1" applyAlignment="1">
      <alignment horizontal="left" vertical="top" wrapText="1"/>
    </xf>
    <xf numFmtId="0" fontId="24"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4" fillId="5" borderId="58" xfId="4495" applyNumberFormat="1" applyFont="1" applyFill="1" applyBorder="1" applyAlignment="1">
      <alignment horizontal="left"/>
    </xf>
    <xf numFmtId="0" fontId="120" fillId="5" borderId="55" xfId="4495" applyFill="1" applyBorder="1" applyAlignment="1">
      <alignment horizontal="center"/>
    </xf>
    <xf numFmtId="0" fontId="120"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4"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53" fillId="0" borderId="51" xfId="4495" applyFont="1" applyBorder="1" applyAlignment="1">
      <alignment horizontal="left" wrapText="1"/>
    </xf>
    <xf numFmtId="0" fontId="53" fillId="0" borderId="0" xfId="4495" applyFont="1" applyAlignment="1">
      <alignment horizontal="left" wrapText="1"/>
    </xf>
    <xf numFmtId="0" fontId="23" fillId="0" borderId="54" xfId="4495" applyFont="1" applyBorder="1" applyAlignment="1">
      <alignment horizontal="center" vertical="top"/>
    </xf>
    <xf numFmtId="0" fontId="130"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wrapText="1"/>
    </xf>
    <xf numFmtId="0" fontId="16" fillId="5" borderId="6" xfId="4495" applyFont="1"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75" fillId="0" borderId="0" xfId="0" applyFont="1" applyAlignment="1" applyProtection="1">
      <alignment horizontal="left"/>
      <protection locked="0"/>
    </xf>
    <xf numFmtId="168" fontId="172" fillId="0" borderId="0" xfId="0" applyNumberFormat="1" applyFont="1" applyAlignment="1">
      <alignment horizontal="center" vertical="top" wrapText="1"/>
    </xf>
    <xf numFmtId="168" fontId="172"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20"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8"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16"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168" fontId="98" fillId="0" borderId="84" xfId="4499" applyNumberFormat="1" applyFont="1" applyFill="1" applyBorder="1" applyAlignment="1" applyProtection="1">
      <alignment horizontal="left" vertical="center" indent="1"/>
    </xf>
    <xf numFmtId="168" fontId="98" fillId="0" borderId="83" xfId="4499" applyNumberFormat="1" applyFont="1" applyFill="1" applyBorder="1" applyAlignment="1" applyProtection="1">
      <alignment horizontal="left" vertical="center" indent="1"/>
    </xf>
    <xf numFmtId="0" fontId="98" fillId="0" borderId="11" xfId="4496" applyFont="1" applyBorder="1" applyAlignment="1">
      <alignment horizontal="left" indent="1"/>
    </xf>
    <xf numFmtId="0" fontId="98" fillId="0" borderId="15" xfId="4496" applyFont="1" applyBorder="1" applyAlignment="1">
      <alignment horizontal="left" indent="1"/>
    </xf>
    <xf numFmtId="0" fontId="137" fillId="0" borderId="71" xfId="4496" applyFont="1" applyBorder="1" applyAlignment="1">
      <alignment horizontal="left" indent="1"/>
    </xf>
    <xf numFmtId="168" fontId="98" fillId="0" borderId="11" xfId="4499" applyNumberFormat="1" applyFont="1" applyFill="1" applyBorder="1" applyAlignment="1" applyProtection="1">
      <alignment horizontal="left" vertical="center" indent="1"/>
    </xf>
    <xf numFmtId="168" fontId="98" fillId="0" borderId="13"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137" fillId="0" borderId="90" xfId="4496" applyFont="1" applyBorder="1" applyAlignment="1">
      <alignment horizontal="center" vertical="top" wrapText="1"/>
    </xf>
    <xf numFmtId="0" fontId="137" fillId="0" borderId="89" xfId="4496" applyFont="1" applyBorder="1" applyAlignment="1">
      <alignment horizontal="center" vertical="top" wrapText="1"/>
    </xf>
    <xf numFmtId="0" fontId="98" fillId="0" borderId="71" xfId="4496" applyFont="1" applyBorder="1"/>
    <xf numFmtId="0" fontId="98" fillId="0" borderId="74" xfId="4496" applyFont="1" applyBorder="1"/>
    <xf numFmtId="0" fontId="98" fillId="0" borderId="11" xfId="4496" applyFont="1" applyBorder="1"/>
    <xf numFmtId="0" fontId="98" fillId="0" borderId="91" xfId="4496" applyFont="1" applyBorder="1"/>
    <xf numFmtId="0" fontId="98" fillId="0" borderId="80" xfId="4496" applyFont="1" applyBorder="1" applyAlignment="1">
      <alignment horizontal="right"/>
    </xf>
    <xf numFmtId="0" fontId="98" fillId="0" borderId="11" xfId="4496" applyFont="1" applyBorder="1" applyAlignment="1">
      <alignment horizontal="right"/>
    </xf>
    <xf numFmtId="0" fontId="98" fillId="0" borderId="72" xfId="4496" applyFont="1" applyBorder="1" applyAlignment="1">
      <alignment horizontal="right"/>
    </xf>
    <xf numFmtId="0" fontId="98" fillId="0" borderId="73" xfId="4496" applyFont="1" applyBorder="1" applyAlignment="1">
      <alignment horizontal="right"/>
    </xf>
    <xf numFmtId="0" fontId="98" fillId="0" borderId="73" xfId="4496" applyFont="1" applyBorder="1"/>
    <xf numFmtId="0" fontId="98" fillId="0" borderId="93" xfId="4496" applyFont="1" applyBorder="1"/>
    <xf numFmtId="0" fontId="98" fillId="0" borderId="70" xfId="4496" applyFont="1" applyBorder="1" applyAlignment="1">
      <alignment horizontal="right"/>
    </xf>
    <xf numFmtId="0" fontId="98" fillId="0" borderId="71" xfId="4496" applyFont="1" applyBorder="1" applyAlignment="1">
      <alignment horizontal="right"/>
    </xf>
    <xf numFmtId="0" fontId="149" fillId="45" borderId="72" xfId="8726" applyFont="1" applyFill="1" applyBorder="1" applyAlignment="1">
      <alignment horizontal="center"/>
    </xf>
    <xf numFmtId="0" fontId="149" fillId="45" borderId="73" xfId="8726" applyFont="1" applyFill="1" applyBorder="1" applyAlignment="1">
      <alignment horizontal="center"/>
    </xf>
    <xf numFmtId="0" fontId="4" fillId="49" borderId="73" xfId="8726" applyFill="1" applyBorder="1" applyAlignment="1" applyProtection="1">
      <alignment horizontal="center"/>
      <protection locked="0"/>
    </xf>
    <xf numFmtId="0" fontId="4" fillId="49" borderId="93" xfId="8726" applyFill="1" applyBorder="1" applyAlignment="1" applyProtection="1">
      <alignment horizontal="center"/>
      <protection locked="0"/>
    </xf>
    <xf numFmtId="0" fontId="4" fillId="49" borderId="11" xfId="8726" applyFill="1" applyBorder="1" applyAlignment="1" applyProtection="1">
      <alignment horizontal="center"/>
      <protection locked="0"/>
    </xf>
    <xf numFmtId="0" fontId="4" fillId="49" borderId="91" xfId="8726" applyFill="1" applyBorder="1" applyAlignment="1" applyProtection="1">
      <alignment horizontal="center"/>
      <protection locked="0"/>
    </xf>
    <xf numFmtId="0" fontId="149" fillId="45" borderId="80" xfId="8726" applyFont="1" applyFill="1" applyBorder="1" applyAlignment="1">
      <alignment horizontal="center"/>
    </xf>
    <xf numFmtId="0" fontId="149" fillId="45" borderId="11" xfId="8726" applyFont="1" applyFill="1" applyBorder="1" applyAlignment="1">
      <alignment horizontal="center"/>
    </xf>
    <xf numFmtId="0" fontId="149" fillId="45" borderId="11" xfId="8726" applyFont="1" applyFill="1" applyBorder="1" applyAlignment="1">
      <alignment horizontal="center" wrapText="1"/>
    </xf>
    <xf numFmtId="0" fontId="150" fillId="45" borderId="11" xfId="8726" applyFont="1" applyFill="1" applyBorder="1" applyAlignment="1">
      <alignment horizontal="center"/>
    </xf>
    <xf numFmtId="0" fontId="150" fillId="45" borderId="91" xfId="8726" applyFont="1" applyFill="1" applyBorder="1" applyAlignment="1">
      <alignment horizontal="center"/>
    </xf>
    <xf numFmtId="0" fontId="102" fillId="45" borderId="70" xfId="8726" applyFont="1" applyFill="1" applyBorder="1" applyAlignment="1">
      <alignment horizontal="center"/>
    </xf>
    <xf numFmtId="0" fontId="102" fillId="45" borderId="71" xfId="8726" applyFont="1" applyFill="1" applyBorder="1" applyAlignment="1">
      <alignment horizontal="center"/>
    </xf>
    <xf numFmtId="0" fontId="102" fillId="45" borderId="74" xfId="8726" applyFont="1" applyFill="1" applyBorder="1" applyAlignment="1">
      <alignment horizontal="center"/>
    </xf>
    <xf numFmtId="0" fontId="102" fillId="45" borderId="70" xfId="8726" applyFont="1" applyFill="1" applyBorder="1" applyAlignment="1">
      <alignment horizontal="left" wrapText="1"/>
    </xf>
    <xf numFmtId="0" fontId="102" fillId="45" borderId="71" xfId="8726" applyFont="1" applyFill="1" applyBorder="1" applyAlignment="1">
      <alignment horizontal="left" wrapText="1"/>
    </xf>
    <xf numFmtId="0" fontId="102" fillId="45" borderId="80" xfId="8726" applyFont="1" applyFill="1" applyBorder="1" applyAlignment="1">
      <alignment horizontal="left" wrapText="1"/>
    </xf>
    <xf numFmtId="0" fontId="102" fillId="45" borderId="11" xfId="8726" applyFont="1" applyFill="1" applyBorder="1" applyAlignment="1">
      <alignment horizontal="left" wrapText="1"/>
    </xf>
    <xf numFmtId="0" fontId="163" fillId="49" borderId="80" xfId="8726" applyFont="1" applyFill="1" applyBorder="1" applyAlignment="1">
      <alignment horizontal="left" vertical="top"/>
    </xf>
    <xf numFmtId="0" fontId="163" fillId="49" borderId="11" xfId="8726" applyFont="1" applyFill="1" applyBorder="1" applyAlignment="1">
      <alignment horizontal="left" vertical="top"/>
    </xf>
    <xf numFmtId="0" fontId="163" fillId="49" borderId="91" xfId="8726" applyFont="1" applyFill="1" applyBorder="1" applyAlignment="1">
      <alignment horizontal="left" vertical="top"/>
    </xf>
    <xf numFmtId="0" fontId="163" fillId="49" borderId="72" xfId="8726" applyFont="1" applyFill="1" applyBorder="1" applyAlignment="1">
      <alignment horizontal="left" vertical="top"/>
    </xf>
    <xf numFmtId="0" fontId="163" fillId="49" borderId="73" xfId="8726" applyFont="1" applyFill="1" applyBorder="1" applyAlignment="1">
      <alignment horizontal="left" vertical="top"/>
    </xf>
    <xf numFmtId="0" fontId="163" fillId="49" borderId="93" xfId="8726" applyFont="1" applyFill="1" applyBorder="1" applyAlignment="1">
      <alignment horizontal="left" vertical="top"/>
    </xf>
    <xf numFmtId="10" fontId="4" fillId="49" borderId="84" xfId="8726" applyNumberFormat="1" applyFill="1" applyBorder="1" applyAlignment="1" applyProtection="1">
      <alignment horizontal="center"/>
      <protection locked="0"/>
    </xf>
    <xf numFmtId="10" fontId="4" fillId="49" borderId="82" xfId="8726" applyNumberFormat="1" applyFill="1" applyBorder="1" applyAlignment="1" applyProtection="1">
      <alignment horizontal="center"/>
      <protection locked="0"/>
    </xf>
    <xf numFmtId="10" fontId="4" fillId="49" borderId="85" xfId="8726" applyNumberFormat="1" applyFill="1" applyBorder="1" applyAlignment="1" applyProtection="1">
      <alignment horizontal="center"/>
      <protection locked="0"/>
    </xf>
    <xf numFmtId="10" fontId="2" fillId="49" borderId="84" xfId="8726" applyNumberFormat="1" applyFont="1" applyFill="1" applyBorder="1" applyAlignment="1" applyProtection="1">
      <alignment horizontal="center"/>
      <protection locked="0"/>
    </xf>
    <xf numFmtId="0" fontId="4" fillId="49" borderId="3" xfId="8726" applyFill="1" applyBorder="1" applyAlignment="1" applyProtection="1">
      <alignment horizontal="center"/>
      <protection locked="0"/>
    </xf>
    <xf numFmtId="0" fontId="4" fillId="49" borderId="4" xfId="8726" applyFill="1" applyBorder="1" applyAlignment="1" applyProtection="1">
      <alignment horizontal="center"/>
      <protection locked="0"/>
    </xf>
    <xf numFmtId="0" fontId="4" fillId="49" borderId="79" xfId="8726" applyFill="1" applyBorder="1" applyAlignment="1" applyProtection="1">
      <alignment horizontal="center"/>
      <protection locked="0"/>
    </xf>
    <xf numFmtId="0" fontId="148" fillId="49" borderId="3" xfId="8726" applyFont="1" applyFill="1" applyBorder="1" applyAlignment="1" applyProtection="1">
      <alignment horizontal="center"/>
      <protection locked="0"/>
    </xf>
    <xf numFmtId="0" fontId="148" fillId="49" borderId="4" xfId="8726" applyFont="1" applyFill="1" applyBorder="1" applyAlignment="1" applyProtection="1">
      <alignment horizontal="center"/>
      <protection locked="0"/>
    </xf>
    <xf numFmtId="0" fontId="148" fillId="49" borderId="79" xfId="8726" applyFont="1" applyFill="1" applyBorder="1" applyAlignment="1" applyProtection="1">
      <alignment horizontal="center"/>
      <protection locked="0"/>
    </xf>
    <xf numFmtId="10" fontId="4" fillId="0" borderId="84" xfId="8726" applyNumberFormat="1" applyBorder="1" applyAlignment="1">
      <alignment horizontal="center"/>
    </xf>
    <xf numFmtId="10" fontId="4" fillId="0" borderId="82" xfId="8726" applyNumberFormat="1" applyBorder="1" applyAlignment="1">
      <alignment horizontal="center"/>
    </xf>
    <xf numFmtId="10" fontId="4" fillId="0" borderId="85" xfId="8726" applyNumberFormat="1" applyBorder="1" applyAlignment="1">
      <alignment horizontal="center"/>
    </xf>
    <xf numFmtId="0" fontId="148" fillId="49" borderId="71" xfId="8726" applyFont="1" applyFill="1" applyBorder="1" applyAlignment="1" applyProtection="1">
      <alignment horizontal="left" wrapText="1"/>
      <protection locked="0"/>
    </xf>
    <xf numFmtId="0" fontId="148" fillId="49" borderId="74" xfId="8726" applyFont="1" applyFill="1" applyBorder="1" applyAlignment="1" applyProtection="1">
      <alignment horizontal="left" wrapText="1"/>
      <protection locked="0"/>
    </xf>
    <xf numFmtId="0" fontId="148" fillId="49" borderId="11" xfId="8726" applyFont="1" applyFill="1" applyBorder="1" applyAlignment="1" applyProtection="1">
      <alignment horizontal="left" wrapText="1"/>
      <protection locked="0"/>
    </xf>
    <xf numFmtId="0" fontId="148" fillId="49" borderId="91" xfId="8726" applyFont="1" applyFill="1" applyBorder="1" applyAlignment="1" applyProtection="1">
      <alignment horizontal="left" wrapText="1"/>
      <protection locked="0"/>
    </xf>
    <xf numFmtId="168" fontId="165" fillId="49" borderId="11" xfId="700" applyNumberFormat="1" applyFont="1" applyFill="1" applyBorder="1" applyAlignment="1" applyProtection="1">
      <alignment horizontal="left"/>
      <protection locked="0"/>
    </xf>
    <xf numFmtId="168" fontId="165" fillId="49" borderId="91" xfId="700" applyNumberFormat="1" applyFont="1" applyFill="1" applyBorder="1" applyAlignment="1" applyProtection="1">
      <alignment horizontal="left"/>
      <protection locked="0"/>
    </xf>
    <xf numFmtId="0" fontId="146" fillId="45" borderId="95" xfId="8726" applyFont="1" applyFill="1" applyBorder="1" applyAlignment="1">
      <alignment horizontal="center"/>
    </xf>
    <xf numFmtId="0" fontId="146" fillId="45" borderId="13" xfId="8726" applyFont="1" applyFill="1" applyBorder="1" applyAlignment="1">
      <alignment horizontal="center"/>
    </xf>
    <xf numFmtId="0" fontId="146" fillId="45" borderId="71" xfId="8726" applyFont="1" applyFill="1" applyBorder="1" applyAlignment="1">
      <alignment horizontal="center"/>
    </xf>
    <xf numFmtId="0" fontId="146" fillId="45" borderId="74"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168" fontId="146" fillId="45" borderId="43" xfId="8726" applyNumberFormat="1" applyFont="1" applyFill="1" applyBorder="1" applyAlignment="1">
      <alignment horizontal="left"/>
    </xf>
    <xf numFmtId="168" fontId="146" fillId="45" borderId="96" xfId="8726" applyNumberFormat="1" applyFont="1" applyFill="1" applyBorder="1" applyAlignment="1">
      <alignment horizontal="left"/>
    </xf>
    <xf numFmtId="0" fontId="161" fillId="45" borderId="11" xfId="8726" applyFont="1" applyFill="1" applyBorder="1" applyAlignment="1">
      <alignment horizontal="right"/>
    </xf>
    <xf numFmtId="14" fontId="148" fillId="49" borderId="11" xfId="8726" applyNumberFormat="1" applyFont="1" applyFill="1" applyBorder="1" applyAlignment="1" applyProtection="1">
      <alignment horizontal="center"/>
      <protection locked="0"/>
    </xf>
    <xf numFmtId="0" fontId="148" fillId="49" borderId="11" xfId="8726" applyFont="1" applyFill="1" applyBorder="1" applyAlignment="1" applyProtection="1">
      <alignment horizontal="center"/>
      <protection locked="0"/>
    </xf>
    <xf numFmtId="1" fontId="164" fillId="49" borderId="11" xfId="8726" applyNumberFormat="1" applyFont="1" applyFill="1" applyBorder="1" applyAlignment="1" applyProtection="1">
      <alignment horizontal="center"/>
      <protection locked="0"/>
    </xf>
    <xf numFmtId="1" fontId="164" fillId="49" borderId="3" xfId="8726" applyNumberFormat="1" applyFont="1" applyFill="1" applyBorder="1" applyAlignment="1" applyProtection="1">
      <alignment horizontal="center"/>
      <protection locked="0"/>
    </xf>
    <xf numFmtId="1" fontId="164" fillId="49" borderId="4" xfId="8726" applyNumberFormat="1" applyFont="1" applyFill="1" applyBorder="1" applyAlignment="1" applyProtection="1">
      <alignment horizontal="center"/>
      <protection locked="0"/>
    </xf>
    <xf numFmtId="1" fontId="164" fillId="49" borderId="5" xfId="8726" applyNumberFormat="1" applyFont="1" applyFill="1" applyBorder="1" applyAlignment="1" applyProtection="1">
      <alignment horizontal="center"/>
      <protection locked="0"/>
    </xf>
    <xf numFmtId="1" fontId="150" fillId="44" borderId="3" xfId="8726" applyNumberFormat="1" applyFont="1" applyFill="1" applyBorder="1" applyAlignment="1">
      <alignment horizontal="center"/>
    </xf>
    <xf numFmtId="1" fontId="150" fillId="44" borderId="4" xfId="8726" applyNumberFormat="1" applyFont="1" applyFill="1" applyBorder="1" applyAlignment="1">
      <alignment horizontal="center"/>
    </xf>
    <xf numFmtId="1" fontId="150" fillId="44" borderId="5" xfId="8726" applyNumberFormat="1" applyFont="1" applyFill="1" applyBorder="1" applyAlignment="1">
      <alignment horizontal="center"/>
    </xf>
    <xf numFmtId="0" fontId="4" fillId="49" borderId="1" xfId="8726" applyFill="1" applyBorder="1" applyAlignment="1" applyProtection="1">
      <alignment horizontal="center"/>
      <protection locked="0"/>
    </xf>
    <xf numFmtId="0" fontId="4" fillId="49" borderId="2" xfId="8726" applyFill="1" applyBorder="1" applyAlignment="1" applyProtection="1">
      <alignment horizontal="center"/>
      <protection locked="0"/>
    </xf>
    <xf numFmtId="0" fontId="148" fillId="49" borderId="89" xfId="8726" applyFont="1" applyFill="1" applyBorder="1" applyAlignment="1" applyProtection="1">
      <alignment horizontal="left"/>
      <protection locked="0"/>
    </xf>
    <xf numFmtId="0" fontId="148" fillId="49" borderId="71" xfId="8726" applyFont="1" applyFill="1" applyBorder="1" applyAlignment="1" applyProtection="1">
      <alignment horizontal="left"/>
      <protection locked="0"/>
    </xf>
    <xf numFmtId="0" fontId="148" fillId="49" borderId="74" xfId="8726" applyFont="1" applyFill="1" applyBorder="1" applyAlignment="1" applyProtection="1">
      <alignment horizontal="left"/>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79" xfId="8726" applyFont="1" applyFill="1" applyBorder="1" applyAlignment="1">
      <alignment horizontal="center"/>
    </xf>
    <xf numFmtId="0" fontId="102" fillId="45" borderId="72" xfId="8726" applyFont="1" applyFill="1" applyBorder="1" applyAlignment="1">
      <alignment horizontal="center"/>
    </xf>
    <xf numFmtId="0" fontId="102" fillId="45" borderId="73" xfId="8726" applyFont="1" applyFill="1" applyBorder="1" applyAlignment="1">
      <alignment horizontal="center"/>
    </xf>
    <xf numFmtId="14" fontId="148" fillId="49" borderId="83" xfId="8726" applyNumberFormat="1" applyFont="1" applyFill="1" applyBorder="1" applyAlignment="1" applyProtection="1">
      <alignment horizontal="center"/>
      <protection locked="0"/>
    </xf>
    <xf numFmtId="0" fontId="148" fillId="49" borderId="73" xfId="8726" applyFont="1" applyFill="1" applyBorder="1" applyAlignment="1" applyProtection="1">
      <alignment horizontal="center"/>
      <protection locked="0"/>
    </xf>
    <xf numFmtId="0" fontId="148" fillId="49" borderId="93" xfId="8726" applyFont="1" applyFill="1" applyBorder="1" applyAlignment="1" applyProtection="1">
      <alignment horizontal="center"/>
      <protection locked="0"/>
    </xf>
    <xf numFmtId="0" fontId="165" fillId="49" borderId="80" xfId="8726" applyFont="1" applyFill="1" applyBorder="1" applyAlignment="1" applyProtection="1">
      <alignment horizontal="right"/>
      <protection locked="0"/>
    </xf>
    <xf numFmtId="0" fontId="165" fillId="49" borderId="11" xfId="8726" applyFont="1" applyFill="1" applyBorder="1" applyAlignment="1" applyProtection="1">
      <alignment horizontal="right"/>
      <protection locked="0"/>
    </xf>
    <xf numFmtId="43" fontId="146" fillId="53" borderId="3" xfId="698" applyFont="1" applyFill="1" applyBorder="1" applyAlignment="1" applyProtection="1">
      <alignment horizontal="center"/>
      <protection hidden="1"/>
    </xf>
    <xf numFmtId="43" fontId="146" fillId="53" borderId="4" xfId="698" applyFont="1" applyFill="1" applyBorder="1" applyAlignment="1" applyProtection="1">
      <alignment horizontal="center"/>
      <protection hidden="1"/>
    </xf>
    <xf numFmtId="43" fontId="146" fillId="53" borderId="79" xfId="698" applyFont="1" applyFill="1" applyBorder="1" applyAlignment="1" applyProtection="1">
      <alignment horizontal="center"/>
      <protection hidden="1"/>
    </xf>
    <xf numFmtId="0" fontId="178" fillId="54" borderId="3" xfId="698" applyNumberFormat="1" applyFont="1" applyFill="1" applyBorder="1" applyAlignment="1" applyProtection="1">
      <alignment horizontal="center"/>
      <protection locked="0"/>
    </xf>
    <xf numFmtId="0" fontId="178" fillId="54" borderId="4" xfId="698" applyNumberFormat="1" applyFont="1" applyFill="1" applyBorder="1" applyAlignment="1" applyProtection="1">
      <alignment horizontal="center"/>
      <protection locked="0"/>
    </xf>
    <xf numFmtId="0" fontId="178" fillId="54" borderId="79" xfId="698" applyNumberFormat="1" applyFont="1" applyFill="1" applyBorder="1" applyAlignment="1" applyProtection="1">
      <alignment horizontal="center"/>
      <protection locked="0"/>
    </xf>
    <xf numFmtId="44" fontId="147" fillId="0" borderId="8" xfId="700" applyFont="1" applyBorder="1" applyAlignment="1" applyProtection="1">
      <alignment horizontal="center" wrapText="1"/>
      <protection hidden="1"/>
    </xf>
    <xf numFmtId="44" fontId="147" fillId="0" borderId="0" xfId="700" applyFont="1" applyBorder="1" applyAlignment="1" applyProtection="1">
      <alignment horizontal="center" wrapText="1"/>
      <protection hidden="1"/>
    </xf>
    <xf numFmtId="44" fontId="147" fillId="0" borderId="12" xfId="700" applyFont="1" applyBorder="1" applyAlignment="1" applyProtection="1">
      <alignment horizontal="center" wrapText="1"/>
      <protection hidden="1"/>
    </xf>
    <xf numFmtId="44" fontId="147" fillId="0" borderId="9" xfId="700" applyFont="1" applyBorder="1" applyAlignment="1" applyProtection="1">
      <alignment horizontal="center" wrapText="1"/>
      <protection hidden="1"/>
    </xf>
    <xf numFmtId="44" fontId="147" fillId="0" borderId="6" xfId="700" applyFont="1" applyBorder="1" applyAlignment="1" applyProtection="1">
      <alignment horizontal="center" wrapText="1"/>
      <protection hidden="1"/>
    </xf>
    <xf numFmtId="44" fontId="147" fillId="0" borderId="10" xfId="700" applyFont="1" applyBorder="1" applyAlignment="1" applyProtection="1">
      <alignment horizontal="center" wrapText="1"/>
      <protection hidden="1"/>
    </xf>
    <xf numFmtId="43" fontId="147" fillId="53" borderId="8" xfId="698" applyFont="1" applyFill="1" applyBorder="1" applyAlignment="1" applyProtection="1">
      <alignment horizontal="center" wrapText="1"/>
      <protection hidden="1"/>
    </xf>
    <xf numFmtId="43" fontId="147" fillId="53" borderId="0" xfId="698" applyFont="1" applyFill="1" applyBorder="1" applyAlignment="1" applyProtection="1">
      <alignment horizontal="center" wrapText="1"/>
      <protection hidden="1"/>
    </xf>
    <xf numFmtId="43" fontId="147" fillId="53" borderId="41" xfId="698" applyFont="1" applyFill="1" applyBorder="1" applyAlignment="1" applyProtection="1">
      <alignment horizontal="center" wrapText="1"/>
      <protection hidden="1"/>
    </xf>
    <xf numFmtId="43" fontId="147" fillId="53" borderId="9" xfId="698" applyFont="1" applyFill="1" applyBorder="1" applyAlignment="1" applyProtection="1">
      <alignment horizontal="center" wrapText="1"/>
      <protection hidden="1"/>
    </xf>
    <xf numFmtId="43" fontId="147" fillId="53" borderId="6" xfId="698" applyFont="1" applyFill="1" applyBorder="1" applyAlignment="1" applyProtection="1">
      <alignment horizontal="center" wrapText="1"/>
      <protection hidden="1"/>
    </xf>
    <xf numFmtId="43" fontId="147" fillId="53" borderId="103" xfId="698" applyFont="1" applyFill="1" applyBorder="1" applyAlignment="1" applyProtection="1">
      <alignment horizontal="center" wrapText="1"/>
      <protection hidden="1"/>
    </xf>
    <xf numFmtId="0" fontId="148" fillId="53" borderId="80" xfId="698" applyNumberFormat="1" applyFont="1" applyFill="1" applyBorder="1" applyAlignment="1" applyProtection="1">
      <alignment horizontal="center"/>
      <protection hidden="1"/>
    </xf>
    <xf numFmtId="0" fontId="148" fillId="53" borderId="11" xfId="698" applyNumberFormat="1" applyFont="1" applyFill="1" applyBorder="1" applyAlignment="1" applyProtection="1">
      <alignment horizontal="center"/>
      <protection hidden="1"/>
    </xf>
    <xf numFmtId="0" fontId="148" fillId="49" borderId="11" xfId="0" applyFont="1" applyFill="1" applyBorder="1" applyAlignment="1" applyProtection="1">
      <alignment horizontal="center"/>
      <protection locked="0"/>
    </xf>
    <xf numFmtId="14" fontId="178" fillId="49" borderId="11" xfId="700" applyNumberFormat="1" applyFont="1" applyFill="1" applyBorder="1" applyAlignment="1" applyProtection="1">
      <alignment horizontal="center"/>
      <protection locked="0"/>
    </xf>
    <xf numFmtId="44" fontId="178" fillId="49" borderId="11" xfId="700" applyFont="1" applyFill="1" applyBorder="1" applyAlignment="1" applyProtection="1">
      <alignment horizontal="center"/>
      <protection locked="0"/>
    </xf>
    <xf numFmtId="164" fontId="148" fillId="49" borderId="11" xfId="700" applyNumberFormat="1" applyFont="1" applyFill="1" applyBorder="1" applyAlignment="1" applyProtection="1">
      <alignment horizontal="center"/>
      <protection locked="0"/>
    </xf>
    <xf numFmtId="9" fontId="148" fillId="49" borderId="11" xfId="1022" applyFont="1" applyFill="1" applyBorder="1" applyAlignment="1" applyProtection="1">
      <alignment horizontal="center"/>
      <protection locked="0"/>
    </xf>
    <xf numFmtId="0" fontId="102" fillId="44" borderId="0" xfId="8726" applyFont="1" applyFill="1" applyAlignment="1">
      <alignment horizontal="left"/>
    </xf>
    <xf numFmtId="0" fontId="150" fillId="44" borderId="0" xfId="8726" applyFont="1" applyFill="1" applyAlignment="1">
      <alignment horizontal="left" vertical="top"/>
    </xf>
    <xf numFmtId="0" fontId="102" fillId="44" borderId="0" xfId="4503" applyFont="1" applyFill="1" applyBorder="1" applyAlignment="1">
      <alignment horizontal="left" vertical="top"/>
    </xf>
    <xf numFmtId="0" fontId="174" fillId="48" borderId="65" xfId="8726" applyFont="1" applyFill="1" applyBorder="1" applyAlignment="1">
      <alignment horizontal="center"/>
    </xf>
    <xf numFmtId="0" fontId="174" fillId="48" borderId="29" xfId="8726" applyFont="1" applyFill="1" applyBorder="1" applyAlignment="1">
      <alignment horizontal="center"/>
    </xf>
    <xf numFmtId="0" fontId="174" fillId="48" borderId="31" xfId="8726" applyFont="1" applyFill="1" applyBorder="1" applyAlignment="1">
      <alignment horizontal="center"/>
    </xf>
    <xf numFmtId="0" fontId="4" fillId="48" borderId="66" xfId="8726" applyFill="1" applyBorder="1" applyAlignment="1">
      <alignment horizontal="center"/>
    </xf>
    <xf numFmtId="0" fontId="4" fillId="48" borderId="0" xfId="8726" applyFill="1" applyAlignment="1">
      <alignment horizontal="center"/>
    </xf>
    <xf numFmtId="0" fontId="4" fillId="48" borderId="41" xfId="8726" applyFill="1" applyBorder="1" applyAlignment="1">
      <alignment horizontal="center"/>
    </xf>
    <xf numFmtId="0" fontId="146" fillId="48" borderId="66" xfId="8726" applyFont="1" applyFill="1" applyBorder="1" applyAlignment="1">
      <alignment horizontal="center"/>
    </xf>
    <xf numFmtId="0" fontId="146" fillId="48" borderId="0" xfId="8726" applyFont="1" applyFill="1" applyAlignment="1">
      <alignment horizontal="center"/>
    </xf>
    <xf numFmtId="0" fontId="146" fillId="48" borderId="41" xfId="8726" applyFont="1" applyFill="1" applyBorder="1" applyAlignment="1">
      <alignment horizontal="center"/>
    </xf>
    <xf numFmtId="0" fontId="102" fillId="48" borderId="66" xfId="8726" applyFont="1" applyFill="1" applyBorder="1" applyAlignment="1">
      <alignment horizontal="center"/>
    </xf>
    <xf numFmtId="0" fontId="102" fillId="48" borderId="0" xfId="8726" applyFont="1" applyFill="1" applyAlignment="1">
      <alignment horizontal="center"/>
    </xf>
    <xf numFmtId="0" fontId="102" fillId="48" borderId="41" xfId="8726" applyFont="1" applyFill="1" applyBorder="1" applyAlignment="1">
      <alignment horizontal="center"/>
    </xf>
    <xf numFmtId="14" fontId="4" fillId="49" borderId="67" xfId="8726" applyNumberFormat="1" applyFill="1" applyBorder="1" applyAlignment="1" applyProtection="1">
      <alignment horizontal="center"/>
      <protection locked="0"/>
    </xf>
    <xf numFmtId="14" fontId="4" fillId="49" borderId="68" xfId="8726" applyNumberFormat="1" applyFill="1" applyBorder="1" applyAlignment="1" applyProtection="1">
      <alignment horizontal="center"/>
      <protection locked="0"/>
    </xf>
    <xf numFmtId="14" fontId="4"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4" fillId="49" borderId="68" xfId="8726" applyFill="1" applyBorder="1" applyAlignment="1" applyProtection="1">
      <alignment horizontal="left"/>
      <protection locked="0"/>
    </xf>
    <xf numFmtId="0" fontId="4" fillId="49" borderId="69" xfId="8726" applyFill="1" applyBorder="1" applyAlignment="1" applyProtection="1">
      <alignment horizontal="left"/>
      <protection locked="0"/>
    </xf>
    <xf numFmtId="0" fontId="4" fillId="49" borderId="67" xfId="8726" applyFill="1" applyBorder="1" applyAlignment="1" applyProtection="1">
      <alignment horizontal="center"/>
      <protection locked="0"/>
    </xf>
    <xf numFmtId="0" fontId="4" fillId="49" borderId="68" xfId="8726" applyFill="1" applyBorder="1" applyAlignment="1" applyProtection="1">
      <alignment horizontal="center"/>
      <protection locked="0"/>
    </xf>
    <xf numFmtId="0" fontId="4" fillId="49" borderId="69" xfId="8726" applyFill="1" applyBorder="1" applyAlignment="1" applyProtection="1">
      <alignment horizontal="center"/>
      <protection locked="0"/>
    </xf>
    <xf numFmtId="0" fontId="102" fillId="48" borderId="42" xfId="8726" applyFont="1" applyFill="1" applyBorder="1" applyAlignment="1">
      <alignment horizontal="center"/>
    </xf>
    <xf numFmtId="0" fontId="146" fillId="48" borderId="0" xfId="8726" applyFont="1" applyFill="1" applyAlignment="1">
      <alignment horizontal="left" vertical="top" wrapText="1"/>
    </xf>
    <xf numFmtId="0" fontId="102" fillId="48" borderId="0" xfId="8726" applyFont="1" applyFill="1" applyAlignment="1">
      <alignment horizontal="left"/>
    </xf>
    <xf numFmtId="43" fontId="146" fillId="45" borderId="67" xfId="698" applyFont="1" applyFill="1" applyBorder="1" applyAlignment="1" applyProtection="1">
      <alignment horizontal="center"/>
      <protection hidden="1"/>
    </xf>
    <xf numFmtId="43" fontId="146" fillId="45" borderId="68" xfId="698" applyFont="1" applyFill="1" applyBorder="1" applyAlignment="1" applyProtection="1">
      <alignment horizontal="center"/>
      <protection hidden="1"/>
    </xf>
    <xf numFmtId="43" fontId="146" fillId="45" borderId="69" xfId="698" applyFont="1" applyFill="1" applyBorder="1" applyAlignment="1" applyProtection="1">
      <alignment horizontal="center"/>
      <protection hidden="1"/>
    </xf>
    <xf numFmtId="43" fontId="147" fillId="53" borderId="66" xfId="698" applyFont="1" applyFill="1" applyBorder="1" applyAlignment="1" applyProtection="1">
      <alignment horizontal="center" wrapText="1"/>
      <protection hidden="1"/>
    </xf>
    <xf numFmtId="43" fontId="147" fillId="53" borderId="12" xfId="698" applyFont="1" applyFill="1" applyBorder="1" applyAlignment="1" applyProtection="1">
      <alignment horizontal="center" wrapText="1"/>
      <protection hidden="1"/>
    </xf>
    <xf numFmtId="43" fontId="147" fillId="53" borderId="102" xfId="698" applyFont="1" applyFill="1" applyBorder="1" applyAlignment="1" applyProtection="1">
      <alignment horizontal="center" wrapText="1"/>
      <protection hidden="1"/>
    </xf>
    <xf numFmtId="43" fontId="147" fillId="53" borderId="10" xfId="698" applyFont="1" applyFill="1" applyBorder="1" applyAlignment="1" applyProtection="1">
      <alignment horizontal="center" wrapText="1"/>
      <protection hidden="1"/>
    </xf>
    <xf numFmtId="14" fontId="147" fillId="0" borderId="8" xfId="700" applyNumberFormat="1" applyFont="1" applyFill="1" applyBorder="1" applyAlignment="1" applyProtection="1">
      <alignment horizontal="center" wrapText="1"/>
      <protection hidden="1"/>
    </xf>
    <xf numFmtId="14" fontId="147" fillId="0" borderId="0" xfId="700" applyNumberFormat="1" applyFont="1" applyFill="1" applyBorder="1" applyAlignment="1" applyProtection="1">
      <alignment horizontal="center" wrapText="1"/>
      <protection hidden="1"/>
    </xf>
    <xf numFmtId="14" fontId="147" fillId="0" borderId="12" xfId="700" applyNumberFormat="1" applyFont="1" applyFill="1" applyBorder="1" applyAlignment="1" applyProtection="1">
      <alignment horizontal="center" wrapText="1"/>
      <protection hidden="1"/>
    </xf>
    <xf numFmtId="14" fontId="147" fillId="0" borderId="9" xfId="700" applyNumberFormat="1" applyFont="1" applyFill="1" applyBorder="1" applyAlignment="1" applyProtection="1">
      <alignment horizontal="center" wrapText="1"/>
      <protection hidden="1"/>
    </xf>
    <xf numFmtId="14" fontId="147" fillId="0" borderId="6" xfId="700" applyNumberFormat="1" applyFont="1" applyFill="1" applyBorder="1" applyAlignment="1" applyProtection="1">
      <alignment horizontal="center" wrapText="1"/>
      <protection hidden="1"/>
    </xf>
    <xf numFmtId="14" fontId="147" fillId="0" borderId="10" xfId="700" applyNumberFormat="1" applyFont="1" applyFill="1" applyBorder="1" applyAlignment="1" applyProtection="1">
      <alignment horizontal="center" wrapText="1"/>
      <protection hidden="1"/>
    </xf>
    <xf numFmtId="0" fontId="102" fillId="0" borderId="67" xfId="8726" applyFont="1" applyBorder="1" applyAlignment="1">
      <alignment horizontal="left"/>
    </xf>
    <xf numFmtId="0" fontId="102" fillId="0" borderId="68" xfId="8726" applyFont="1" applyBorder="1" applyAlignment="1">
      <alignment horizontal="left"/>
    </xf>
    <xf numFmtId="0" fontId="149" fillId="45" borderId="72" xfId="8726" applyFont="1" applyFill="1" applyBorder="1" applyAlignment="1">
      <alignment horizontal="right"/>
    </xf>
    <xf numFmtId="0" fontId="149" fillId="45" borderId="73" xfId="8726" applyFont="1" applyFill="1" applyBorder="1" applyAlignment="1">
      <alignment horizontal="right"/>
    </xf>
    <xf numFmtId="0" fontId="150" fillId="44" borderId="73" xfId="700" applyNumberFormat="1" applyFont="1" applyFill="1" applyBorder="1" applyAlignment="1">
      <alignment horizontal="left"/>
    </xf>
    <xf numFmtId="168" fontId="150" fillId="44" borderId="73" xfId="700" applyNumberFormat="1" applyFont="1" applyFill="1" applyBorder="1" applyAlignment="1">
      <alignment horizontal="left"/>
    </xf>
    <xf numFmtId="168" fontId="150" fillId="44" borderId="93" xfId="700" applyNumberFormat="1" applyFont="1" applyFill="1" applyBorder="1" applyAlignment="1">
      <alignment horizontal="left"/>
    </xf>
    <xf numFmtId="0" fontId="146" fillId="48" borderId="0" xfId="8726" applyFont="1" applyFill="1" applyAlignment="1">
      <alignment horizontal="right"/>
    </xf>
    <xf numFmtId="182" fontId="4" fillId="49" borderId="11" xfId="700" applyNumberFormat="1" applyFont="1" applyFill="1" applyBorder="1" applyAlignment="1" applyProtection="1">
      <alignment horizontal="center"/>
      <protection locked="0"/>
    </xf>
    <xf numFmtId="10" fontId="163" fillId="49" borderId="11" xfId="1022" applyNumberFormat="1" applyFont="1" applyFill="1" applyBorder="1" applyAlignment="1" applyProtection="1">
      <alignment horizontal="center"/>
      <protection locked="0"/>
    </xf>
    <xf numFmtId="44" fontId="4" fillId="49" borderId="97" xfId="700" applyFont="1" applyFill="1" applyBorder="1" applyAlignment="1" applyProtection="1">
      <alignment horizontal="center"/>
      <protection locked="0"/>
    </xf>
    <xf numFmtId="168" fontId="147" fillId="48" borderId="0" xfId="700" applyNumberFormat="1" applyFont="1" applyFill="1" applyBorder="1" applyAlignment="1" applyProtection="1">
      <alignment horizontal="left"/>
      <protection locked="0"/>
    </xf>
    <xf numFmtId="0" fontId="150" fillId="45" borderId="67" xfId="0" applyFont="1" applyFill="1" applyBorder="1" applyAlignment="1" applyProtection="1">
      <alignment horizontal="center" wrapText="1"/>
      <protection hidden="1"/>
    </xf>
    <xf numFmtId="0" fontId="150" fillId="45" borderId="68" xfId="0" applyFont="1" applyFill="1" applyBorder="1" applyAlignment="1" applyProtection="1">
      <alignment horizontal="center" wrapText="1"/>
      <protection hidden="1"/>
    </xf>
    <xf numFmtId="0" fontId="150" fillId="45" borderId="69" xfId="0" applyFont="1" applyFill="1" applyBorder="1" applyAlignment="1" applyProtection="1">
      <alignment horizontal="center" wrapText="1"/>
      <protection hidden="1"/>
    </xf>
    <xf numFmtId="44" fontId="4" fillId="44" borderId="11" xfId="700" applyFont="1" applyFill="1" applyBorder="1" applyAlignment="1" applyProtection="1">
      <alignment horizontal="center"/>
      <protection hidden="1"/>
    </xf>
    <xf numFmtId="0" fontId="4" fillId="48" borderId="3" xfId="8726" applyFill="1" applyBorder="1" applyAlignment="1">
      <alignment horizontal="center"/>
    </xf>
    <xf numFmtId="0" fontId="4" fillId="48" borderId="4" xfId="8726" applyFill="1" applyBorder="1" applyAlignment="1">
      <alignment horizontal="center"/>
    </xf>
    <xf numFmtId="0" fontId="4" fillId="48" borderId="5" xfId="8726" applyFill="1" applyBorder="1" applyAlignment="1">
      <alignment horizontal="center"/>
    </xf>
    <xf numFmtId="0" fontId="4" fillId="48" borderId="1" xfId="8726" applyFill="1" applyBorder="1" applyAlignment="1">
      <alignment horizontal="center"/>
    </xf>
    <xf numFmtId="0" fontId="4" fillId="48" borderId="2" xfId="8726" applyFill="1" applyBorder="1" applyAlignment="1">
      <alignment horizontal="center"/>
    </xf>
    <xf numFmtId="0" fontId="4" fillId="48" borderId="7" xfId="8726" applyFill="1" applyBorder="1" applyAlignment="1">
      <alignment horizontal="center"/>
    </xf>
    <xf numFmtId="0" fontId="165" fillId="45" borderId="70" xfId="8726" applyFont="1" applyFill="1" applyBorder="1" applyAlignment="1">
      <alignment horizontal="right"/>
    </xf>
    <xf numFmtId="0" fontId="165" fillId="45" borderId="71" xfId="8726" applyFont="1" applyFill="1" applyBorder="1" applyAlignment="1">
      <alignment horizontal="right"/>
    </xf>
    <xf numFmtId="168" fontId="148" fillId="44" borderId="71" xfId="700" applyNumberFormat="1" applyFont="1" applyFill="1" applyBorder="1" applyAlignment="1">
      <alignment horizontal="left"/>
    </xf>
    <xf numFmtId="168" fontId="148" fillId="44" borderId="74" xfId="700" applyNumberFormat="1" applyFont="1" applyFill="1" applyBorder="1" applyAlignment="1">
      <alignment horizontal="left"/>
    </xf>
    <xf numFmtId="0" fontId="163" fillId="49" borderId="81" xfId="8726" applyFont="1" applyFill="1" applyBorder="1" applyAlignment="1" applyProtection="1">
      <alignment horizontal="center"/>
      <protection locked="0"/>
    </xf>
    <xf numFmtId="0" fontId="163" fillId="49" borderId="82" xfId="8726" applyFont="1" applyFill="1" applyBorder="1" applyAlignment="1" applyProtection="1">
      <alignment horizontal="center"/>
      <protection locked="0"/>
    </xf>
    <xf numFmtId="0" fontId="165" fillId="49" borderId="73" xfId="8726" applyFont="1" applyFill="1" applyBorder="1" applyAlignment="1" applyProtection="1">
      <alignment horizontal="left"/>
      <protection locked="0"/>
    </xf>
    <xf numFmtId="0" fontId="165" fillId="49" borderId="93" xfId="8726" applyFont="1" applyFill="1" applyBorder="1" applyAlignment="1" applyProtection="1">
      <alignment horizontal="left"/>
      <protection locked="0"/>
    </xf>
    <xf numFmtId="168" fontId="163" fillId="49" borderId="82" xfId="700" applyNumberFormat="1" applyFont="1" applyFill="1" applyBorder="1" applyAlignment="1" applyProtection="1">
      <alignment horizontal="left"/>
      <protection locked="0"/>
    </xf>
    <xf numFmtId="168" fontId="163" fillId="49" borderId="85" xfId="700" applyNumberFormat="1" applyFont="1" applyFill="1" applyBorder="1" applyAlignment="1" applyProtection="1">
      <alignment horizontal="left"/>
      <protection locked="0"/>
    </xf>
    <xf numFmtId="0" fontId="163" fillId="49" borderId="81" xfId="8726" applyFont="1" applyFill="1" applyBorder="1" applyAlignment="1" applyProtection="1">
      <alignment horizontal="left"/>
      <protection locked="0"/>
    </xf>
    <xf numFmtId="0" fontId="163" fillId="49" borderId="82" xfId="8726" applyFont="1" applyFill="1" applyBorder="1" applyAlignment="1" applyProtection="1">
      <alignment horizontal="left"/>
      <protection locked="0"/>
    </xf>
    <xf numFmtId="0" fontId="163" fillId="49" borderId="85" xfId="8726" applyFont="1" applyFill="1" applyBorder="1" applyAlignment="1" applyProtection="1">
      <alignment horizontal="left"/>
      <protection locked="0"/>
    </xf>
    <xf numFmtId="0" fontId="173" fillId="48" borderId="0" xfId="8726" applyFont="1" applyFill="1" applyAlignment="1">
      <alignment horizontal="left" wrapText="1"/>
    </xf>
    <xf numFmtId="0" fontId="173" fillId="48" borderId="41" xfId="8726" applyFont="1" applyFill="1" applyBorder="1" applyAlignment="1">
      <alignment horizontal="left" wrapText="1"/>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0" fontId="165" fillId="49" borderId="11" xfId="8726"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center"/>
      <protection locked="0"/>
    </xf>
    <xf numFmtId="0" fontId="165" fillId="49" borderId="11" xfId="8726" applyFont="1" applyFill="1" applyBorder="1" applyAlignment="1" applyProtection="1">
      <alignment horizontal="center"/>
      <protection locked="0"/>
    </xf>
    <xf numFmtId="44" fontId="4" fillId="49" borderId="11" xfId="700" applyFont="1" applyFill="1" applyBorder="1" applyAlignment="1" applyProtection="1">
      <alignment horizontal="center"/>
      <protection locked="0"/>
    </xf>
    <xf numFmtId="0" fontId="163" fillId="45" borderId="80" xfId="8726" applyFont="1" applyFill="1" applyBorder="1" applyAlignment="1">
      <alignment horizontal="right"/>
    </xf>
    <xf numFmtId="0" fontId="163" fillId="45" borderId="11" xfId="8726" applyFont="1" applyFill="1" applyBorder="1" applyAlignment="1">
      <alignment horizontal="right"/>
    </xf>
    <xf numFmtId="168" fontId="163" fillId="44" borderId="11" xfId="700" applyNumberFormat="1" applyFont="1" applyFill="1" applyBorder="1" applyAlignment="1">
      <alignment horizontal="left"/>
    </xf>
    <xf numFmtId="43" fontId="146" fillId="55" borderId="104" xfId="698" applyFont="1" applyFill="1" applyBorder="1" applyAlignment="1" applyProtection="1">
      <alignment horizontal="center"/>
      <protection hidden="1"/>
    </xf>
    <xf numFmtId="43" fontId="146" fillId="55" borderId="97" xfId="698" applyFont="1" applyFill="1" applyBorder="1" applyAlignment="1" applyProtection="1">
      <alignment horizontal="center"/>
      <protection hidden="1"/>
    </xf>
    <xf numFmtId="43" fontId="146" fillId="55" borderId="98" xfId="698" applyFont="1" applyFill="1" applyBorder="1" applyAlignment="1" applyProtection="1">
      <alignment horizontal="center"/>
      <protection hidden="1"/>
    </xf>
    <xf numFmtId="43" fontId="148" fillId="53" borderId="13" xfId="698" applyFont="1" applyFill="1" applyBorder="1" applyAlignment="1" applyProtection="1">
      <alignment horizontal="left"/>
      <protection hidden="1"/>
    </xf>
    <xf numFmtId="44" fontId="4" fillId="49" borderId="13" xfId="700" applyFont="1" applyFill="1" applyBorder="1" applyAlignment="1" applyProtection="1">
      <alignment horizontal="center"/>
      <protection locked="0"/>
    </xf>
    <xf numFmtId="0" fontId="163" fillId="48" borderId="9" xfId="8726" applyFont="1" applyFill="1" applyBorder="1" applyAlignment="1">
      <alignment horizontal="center"/>
    </xf>
    <xf numFmtId="0" fontId="163" fillId="48" borderId="6" xfId="8726" applyFont="1" applyFill="1" applyBorder="1" applyAlignment="1">
      <alignment horizontal="center"/>
    </xf>
    <xf numFmtId="0" fontId="163" fillId="48" borderId="10" xfId="8726" applyFont="1" applyFill="1" applyBorder="1" applyAlignment="1">
      <alignment horizontal="center"/>
    </xf>
    <xf numFmtId="43" fontId="148" fillId="53" borderId="11" xfId="698" applyFont="1" applyFill="1" applyBorder="1" applyAlignment="1" applyProtection="1">
      <alignment horizontal="left"/>
      <protection hidden="1"/>
    </xf>
    <xf numFmtId="14" fontId="163" fillId="49" borderId="11" xfId="8726" applyNumberFormat="1" applyFont="1" applyFill="1" applyBorder="1" applyAlignment="1" applyProtection="1">
      <alignment horizontal="center"/>
      <protection locked="0"/>
    </xf>
    <xf numFmtId="14" fontId="163" fillId="49" borderId="91" xfId="8726" applyNumberFormat="1" applyFont="1" applyFill="1" applyBorder="1" applyAlignment="1" applyProtection="1">
      <alignment horizontal="center"/>
      <protection locked="0"/>
    </xf>
    <xf numFmtId="168" fontId="165" fillId="44" borderId="11" xfId="700" applyNumberFormat="1" applyFont="1" applyFill="1" applyBorder="1" applyAlignment="1">
      <alignment horizontal="left"/>
    </xf>
    <xf numFmtId="0" fontId="149" fillId="47" borderId="11" xfId="8726" applyFont="1" applyFill="1" applyBorder="1" applyAlignment="1">
      <alignment horizontal="center"/>
    </xf>
    <xf numFmtId="0" fontId="149" fillId="47" borderId="91" xfId="8726" applyFont="1" applyFill="1" applyBorder="1" applyAlignment="1">
      <alignment horizontal="center"/>
    </xf>
    <xf numFmtId="0" fontId="165" fillId="45" borderId="80" xfId="8726" applyFont="1" applyFill="1" applyBorder="1" applyAlignment="1">
      <alignment horizontal="right"/>
    </xf>
    <xf numFmtId="0" fontId="165" fillId="45" borderId="11" xfId="8726" applyFont="1" applyFill="1" applyBorder="1" applyAlignment="1">
      <alignment horizontal="right"/>
    </xf>
    <xf numFmtId="0" fontId="173" fillId="45" borderId="72" xfId="8726" applyFont="1" applyFill="1" applyBorder="1" applyAlignment="1">
      <alignment horizontal="center"/>
    </xf>
    <xf numFmtId="0" fontId="173" fillId="45" borderId="73" xfId="8726" applyFont="1" applyFill="1" applyBorder="1" applyAlignment="1">
      <alignment horizontal="center"/>
    </xf>
    <xf numFmtId="0" fontId="159" fillId="49" borderId="73" xfId="8726" applyFont="1" applyFill="1" applyBorder="1" applyAlignment="1" applyProtection="1">
      <alignment horizontal="left"/>
      <protection locked="0"/>
    </xf>
    <xf numFmtId="0" fontId="165" fillId="49" borderId="73" xfId="8726" applyFont="1" applyFill="1" applyBorder="1" applyAlignment="1" applyProtection="1">
      <alignment horizontal="center"/>
      <protection locked="0"/>
    </xf>
    <xf numFmtId="14" fontId="165" fillId="49" borderId="73" xfId="8726" applyNumberFormat="1" applyFont="1" applyFill="1" applyBorder="1" applyAlignment="1" applyProtection="1">
      <alignment horizontal="center"/>
      <protection locked="0"/>
    </xf>
    <xf numFmtId="168" fontId="165" fillId="49" borderId="73" xfId="8727" applyNumberFormat="1" applyFont="1" applyFill="1" applyBorder="1" applyAlignment="1" applyProtection="1">
      <alignment horizontal="center"/>
      <protection locked="0"/>
    </xf>
    <xf numFmtId="168" fontId="165" fillId="49" borderId="93" xfId="8727" applyNumberFormat="1" applyFont="1" applyFill="1" applyBorder="1" applyAlignment="1" applyProtection="1">
      <alignment horizontal="center"/>
      <protection locked="0"/>
    </xf>
    <xf numFmtId="0" fontId="163" fillId="49" borderId="72" xfId="8726" applyFont="1" applyFill="1" applyBorder="1" applyAlignment="1" applyProtection="1">
      <alignment horizontal="center"/>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4" fontId="163" fillId="49" borderId="93" xfId="8726" applyNumberFormat="1" applyFont="1" applyFill="1" applyBorder="1" applyAlignment="1" applyProtection="1">
      <alignment horizontal="center"/>
      <protection locked="0"/>
    </xf>
    <xf numFmtId="0" fontId="102" fillId="45" borderId="65" xfId="8726" applyFont="1" applyFill="1" applyBorder="1" applyAlignment="1">
      <alignment horizontal="left" wrapText="1"/>
    </xf>
    <xf numFmtId="0" fontId="102" fillId="45" borderId="29" xfId="8726" applyFont="1" applyFill="1" applyBorder="1" applyAlignment="1">
      <alignment horizontal="left" wrapText="1"/>
    </xf>
    <xf numFmtId="0" fontId="102" fillId="45" borderId="31" xfId="8726" applyFont="1" applyFill="1" applyBorder="1" applyAlignment="1">
      <alignment horizontal="left" wrapText="1"/>
    </xf>
    <xf numFmtId="0" fontId="102" fillId="45" borderId="86" xfId="8726" applyFont="1" applyFill="1" applyBorder="1" applyAlignment="1">
      <alignment horizontal="left" wrapText="1"/>
    </xf>
    <xf numFmtId="0" fontId="102" fillId="45" borderId="42" xfId="8726" applyFont="1" applyFill="1" applyBorder="1" applyAlignment="1">
      <alignment horizontal="left" wrapText="1"/>
    </xf>
    <xf numFmtId="0" fontId="102" fillId="45" borderId="44" xfId="8726" applyFont="1" applyFill="1" applyBorder="1" applyAlignment="1">
      <alignment horizontal="left" wrapText="1"/>
    </xf>
    <xf numFmtId="0" fontId="146" fillId="45" borderId="70" xfId="8726" applyFont="1" applyFill="1" applyBorder="1" applyAlignment="1">
      <alignment horizontal="left"/>
    </xf>
    <xf numFmtId="0" fontId="146" fillId="45" borderId="71" xfId="8726" applyFont="1" applyFill="1" applyBorder="1" applyAlignment="1">
      <alignment horizontal="left"/>
    </xf>
    <xf numFmtId="0" fontId="146" fillId="45" borderId="74" xfId="8726" applyFont="1" applyFill="1" applyBorder="1" applyAlignment="1">
      <alignment horizontal="left"/>
    </xf>
    <xf numFmtId="0" fontId="102" fillId="45" borderId="80" xfId="8726" applyFont="1" applyFill="1" applyBorder="1" applyAlignment="1">
      <alignment horizontal="center"/>
    </xf>
    <xf numFmtId="0" fontId="102" fillId="45" borderId="11" xfId="8726" applyFont="1" applyFill="1" applyBorder="1" applyAlignment="1">
      <alignment horizontal="center"/>
    </xf>
    <xf numFmtId="0" fontId="102" fillId="45" borderId="91" xfId="8726" applyFont="1" applyFill="1" applyBorder="1" applyAlignment="1">
      <alignment horizontal="center"/>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73" fillId="45" borderId="80" xfId="8726" applyFont="1" applyFill="1" applyBorder="1" applyAlignment="1">
      <alignment horizontal="center"/>
    </xf>
    <xf numFmtId="0" fontId="173" fillId="45" borderId="11" xfId="8726" applyFont="1" applyFill="1" applyBorder="1" applyAlignment="1">
      <alignment horizontal="center"/>
    </xf>
    <xf numFmtId="0" fontId="159" fillId="49" borderId="11" xfId="8726" applyFont="1" applyFill="1" applyBorder="1" applyAlignment="1" applyProtection="1">
      <alignment horizontal="left"/>
      <protection locked="0"/>
    </xf>
    <xf numFmtId="14" fontId="165" fillId="49" borderId="11" xfId="8726" applyNumberFormat="1" applyFont="1" applyFill="1" applyBorder="1" applyAlignment="1" applyProtection="1">
      <alignment horizontal="center"/>
      <protection locked="0"/>
    </xf>
    <xf numFmtId="168" fontId="165" fillId="49" borderId="11" xfId="8727" applyNumberFormat="1" applyFont="1" applyFill="1" applyBorder="1" applyAlignment="1" applyProtection="1">
      <alignment horizontal="center"/>
      <protection locked="0"/>
    </xf>
    <xf numFmtId="168" fontId="165" fillId="49" borderId="91" xfId="8727" applyNumberFormat="1" applyFont="1" applyFill="1" applyBorder="1" applyAlignment="1" applyProtection="1">
      <alignment horizontal="center"/>
      <protection locked="0"/>
    </xf>
    <xf numFmtId="0" fontId="150" fillId="45" borderId="11" xfId="8726" applyFont="1" applyFill="1" applyBorder="1" applyAlignment="1">
      <alignment horizontal="center" wrapText="1"/>
    </xf>
    <xf numFmtId="0" fontId="150" fillId="45" borderId="91" xfId="8726" applyFont="1" applyFill="1" applyBorder="1" applyAlignment="1">
      <alignment horizontal="center" wrapText="1"/>
    </xf>
    <xf numFmtId="0" fontId="161" fillId="45" borderId="80" xfId="8726" applyFont="1" applyFill="1" applyBorder="1" applyAlignment="1">
      <alignment horizontal="left"/>
    </xf>
    <xf numFmtId="0" fontId="161" fillId="45" borderId="11" xfId="8726" applyFont="1" applyFill="1" applyBorder="1" applyAlignment="1">
      <alignment horizontal="left"/>
    </xf>
    <xf numFmtId="0" fontId="161" fillId="45" borderId="72" xfId="8726" applyFont="1" applyFill="1" applyBorder="1" applyAlignment="1">
      <alignment horizontal="left"/>
    </xf>
    <xf numFmtId="0" fontId="161" fillId="45" borderId="73" xfId="8726" applyFont="1" applyFill="1" applyBorder="1" applyAlignment="1">
      <alignment horizontal="left"/>
    </xf>
    <xf numFmtId="0" fontId="146" fillId="45" borderId="70" xfId="8726" applyFont="1" applyFill="1" applyBorder="1" applyAlignment="1">
      <alignment horizontal="center"/>
    </xf>
    <xf numFmtId="0" fontId="2" fillId="49" borderId="11" xfId="8726" applyFont="1" applyFill="1" applyBorder="1" applyAlignment="1" applyProtection="1">
      <alignment horizontal="center"/>
      <protection locked="0"/>
    </xf>
    <xf numFmtId="0" fontId="2" fillId="49" borderId="73" xfId="8726" applyFont="1" applyFill="1" applyBorder="1" applyAlignment="1" applyProtection="1">
      <alignment horizontal="center"/>
      <protection locked="0"/>
    </xf>
    <xf numFmtId="0" fontId="154" fillId="45" borderId="80" xfId="8726" applyFont="1" applyFill="1" applyBorder="1" applyAlignment="1">
      <alignment horizontal="left"/>
    </xf>
    <xf numFmtId="0" fontId="154" fillId="45" borderId="11" xfId="8726" applyFont="1" applyFill="1" applyBorder="1" applyAlignment="1">
      <alignment horizontal="left"/>
    </xf>
    <xf numFmtId="0" fontId="164" fillId="49" borderId="11" xfId="8726" applyFont="1" applyFill="1" applyBorder="1" applyAlignment="1" applyProtection="1">
      <alignment horizontal="left"/>
      <protection locked="0"/>
    </xf>
    <xf numFmtId="0" fontId="164"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left" vertical="top" wrapText="1"/>
      <protection locked="0"/>
    </xf>
    <xf numFmtId="0" fontId="165" fillId="49" borderId="11" xfId="8726" applyFont="1" applyFill="1" applyBorder="1" applyAlignment="1" applyProtection="1">
      <alignment horizontal="left" vertical="top"/>
      <protection locked="0"/>
    </xf>
    <xf numFmtId="0" fontId="165" fillId="49" borderId="91" xfId="8726" applyFont="1" applyFill="1" applyBorder="1" applyAlignment="1" applyProtection="1">
      <alignment horizontal="left" vertical="top"/>
      <protection locked="0"/>
    </xf>
    <xf numFmtId="0" fontId="165" fillId="49" borderId="80" xfId="8726" applyFont="1" applyFill="1" applyBorder="1" applyAlignment="1" applyProtection="1">
      <alignment horizontal="left" vertical="top"/>
      <protection locked="0"/>
    </xf>
    <xf numFmtId="0" fontId="165" fillId="49" borderId="72" xfId="8726" applyFont="1" applyFill="1" applyBorder="1" applyAlignment="1" applyProtection="1">
      <alignment horizontal="left" vertical="top"/>
      <protection locked="0"/>
    </xf>
    <xf numFmtId="0" fontId="165" fillId="49" borderId="73" xfId="8726" applyFont="1" applyFill="1" applyBorder="1" applyAlignment="1" applyProtection="1">
      <alignment horizontal="left" vertical="top"/>
      <protection locked="0"/>
    </xf>
    <xf numFmtId="0" fontId="165" fillId="49" borderId="93" xfId="8726" applyFont="1" applyFill="1" applyBorder="1" applyAlignment="1" applyProtection="1">
      <alignment horizontal="left" vertical="top"/>
      <protection locked="0"/>
    </xf>
    <xf numFmtId="0" fontId="146" fillId="45" borderId="75" xfId="8726" applyFont="1" applyFill="1" applyBorder="1" applyAlignment="1">
      <alignment horizontal="center"/>
    </xf>
    <xf numFmtId="0" fontId="146" fillId="45" borderId="76" xfId="8726" applyFont="1" applyFill="1" applyBorder="1" applyAlignment="1">
      <alignment horizontal="center"/>
    </xf>
    <xf numFmtId="0" fontId="146" fillId="45" borderId="77" xfId="8726" applyFont="1" applyFill="1" applyBorder="1" applyAlignment="1">
      <alignment horizontal="center"/>
    </xf>
    <xf numFmtId="0" fontId="102" fillId="45" borderId="74" xfId="8726" applyFont="1" applyFill="1" applyBorder="1" applyAlignment="1">
      <alignment horizontal="left" wrapText="1"/>
    </xf>
    <xf numFmtId="0" fontId="102" fillId="45" borderId="91" xfId="8726" applyFont="1" applyFill="1" applyBorder="1" applyAlignment="1">
      <alignment horizontal="left" wrapText="1"/>
    </xf>
    <xf numFmtId="0" fontId="102" fillId="45" borderId="65" xfId="8726" applyFont="1" applyFill="1" applyBorder="1" applyAlignment="1">
      <alignment horizontal="center"/>
    </xf>
    <xf numFmtId="0" fontId="102" fillId="45" borderId="29" xfId="8726" applyFont="1" applyFill="1" applyBorder="1" applyAlignment="1">
      <alignment horizontal="center"/>
    </xf>
    <xf numFmtId="0" fontId="102" fillId="45" borderId="31" xfId="8726" applyFont="1" applyFill="1" applyBorder="1" applyAlignment="1">
      <alignment horizontal="center"/>
    </xf>
    <xf numFmtId="0" fontId="160" fillId="45" borderId="11" xfId="8726" applyFont="1" applyFill="1" applyBorder="1" applyAlignment="1">
      <alignment horizontal="left"/>
    </xf>
    <xf numFmtId="0" fontId="160" fillId="45" borderId="91" xfId="8726" applyFont="1" applyFill="1" applyBorder="1" applyAlignment="1">
      <alignment horizontal="left"/>
    </xf>
    <xf numFmtId="0" fontId="163" fillId="49" borderId="80" xfId="8726" applyFont="1" applyFill="1" applyBorder="1" applyAlignment="1" applyProtection="1">
      <alignment horizontal="left" vertical="top" wrapText="1"/>
      <protection locked="0"/>
    </xf>
    <xf numFmtId="0" fontId="4" fillId="47" borderId="73" xfId="8726" applyFill="1" applyBorder="1" applyAlignment="1" applyProtection="1">
      <alignment horizontal="center"/>
      <protection locked="0"/>
    </xf>
    <xf numFmtId="0" fontId="4" fillId="47" borderId="93" xfId="8726" applyFill="1" applyBorder="1" applyAlignment="1" applyProtection="1">
      <alignment horizontal="center"/>
      <protection locked="0"/>
    </xf>
    <xf numFmtId="0" fontId="146" fillId="45" borderId="94" xfId="8726" applyFont="1" applyFill="1" applyBorder="1" applyAlignment="1">
      <alignment horizontal="right"/>
    </xf>
    <xf numFmtId="0" fontId="146" fillId="45" borderId="43" xfId="8726" applyFont="1" applyFill="1" applyBorder="1" applyAlignment="1">
      <alignment horizontal="right"/>
    </xf>
    <xf numFmtId="0" fontId="163" fillId="49" borderId="71" xfId="8726" applyFont="1" applyFill="1" applyBorder="1" applyAlignment="1" applyProtection="1">
      <alignment horizontal="left"/>
      <protection locked="0"/>
    </xf>
    <xf numFmtId="0" fontId="163" fillId="49" borderId="74" xfId="8726" applyFont="1" applyFill="1" applyBorder="1" applyAlignment="1" applyProtection="1">
      <alignment horizontal="left"/>
      <protection locked="0"/>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0" fontId="163" fillId="44" borderId="80" xfId="8726" applyFont="1" applyFill="1" applyBorder="1" applyAlignment="1" applyProtection="1">
      <alignment horizontal="right"/>
      <protection locked="0"/>
    </xf>
    <xf numFmtId="0" fontId="163" fillId="44" borderId="11" xfId="8726" applyFont="1" applyFill="1" applyBorder="1" applyAlignment="1" applyProtection="1">
      <alignment horizontal="right"/>
      <protection locked="0"/>
    </xf>
    <xf numFmtId="0" fontId="163" fillId="44" borderId="91" xfId="8726" applyFont="1" applyFill="1" applyBorder="1" applyAlignment="1" applyProtection="1">
      <alignment horizontal="right"/>
      <protection locked="0"/>
    </xf>
    <xf numFmtId="0" fontId="163" fillId="49" borderId="5" xfId="8726" applyFont="1" applyFill="1" applyBorder="1" applyAlignment="1" applyProtection="1">
      <alignment horizontal="left"/>
      <protection locked="0"/>
    </xf>
    <xf numFmtId="0" fontId="163" fillId="44" borderId="72" xfId="8726" applyFont="1" applyFill="1" applyBorder="1" applyAlignment="1" applyProtection="1">
      <alignment horizontal="right"/>
      <protection locked="0"/>
    </xf>
    <xf numFmtId="0" fontId="163" fillId="44" borderId="73" xfId="8726" applyFont="1" applyFill="1" applyBorder="1" applyAlignment="1" applyProtection="1">
      <alignment horizontal="right"/>
      <protection locked="0"/>
    </xf>
    <xf numFmtId="0" fontId="163" fillId="44" borderId="93" xfId="8726" applyFont="1" applyFill="1" applyBorder="1" applyAlignment="1" applyProtection="1">
      <alignment horizontal="right"/>
      <protection locked="0"/>
    </xf>
    <xf numFmtId="168" fontId="163" fillId="49" borderId="11" xfId="8727" applyNumberFormat="1"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63" fillId="49" borderId="11" xfId="700" applyNumberFormat="1" applyFont="1" applyFill="1" applyBorder="1" applyAlignment="1" applyProtection="1">
      <alignment horizontal="left"/>
      <protection locked="0"/>
    </xf>
    <xf numFmtId="0" fontId="163" fillId="49" borderId="91" xfId="700" applyNumberFormat="1" applyFont="1" applyFill="1" applyBorder="1" applyAlignment="1" applyProtection="1">
      <alignment horizontal="left"/>
      <protection locked="0"/>
    </xf>
    <xf numFmtId="168" fontId="149" fillId="45" borderId="73" xfId="8727" applyNumberFormat="1" applyFont="1" applyFill="1" applyBorder="1" applyAlignment="1">
      <alignment horizontal="center"/>
    </xf>
    <xf numFmtId="1" fontId="149" fillId="45" borderId="73" xfId="8727" applyNumberFormat="1" applyFont="1" applyFill="1" applyBorder="1" applyAlignment="1">
      <alignment horizontal="center"/>
    </xf>
    <xf numFmtId="0" fontId="149" fillId="45" borderId="73" xfId="8727" applyNumberFormat="1" applyFont="1" applyFill="1" applyBorder="1" applyAlignment="1">
      <alignment horizontal="center"/>
    </xf>
    <xf numFmtId="0" fontId="149" fillId="45" borderId="93" xfId="8727" applyNumberFormat="1" applyFont="1" applyFill="1" applyBorder="1" applyAlignment="1">
      <alignment horizontal="center"/>
    </xf>
    <xf numFmtId="0" fontId="146" fillId="45" borderId="65" xfId="8726" applyFont="1" applyFill="1" applyBorder="1" applyAlignment="1">
      <alignment horizontal="center"/>
    </xf>
    <xf numFmtId="0" fontId="146" fillId="45" borderId="29" xfId="8726" applyFont="1" applyFill="1" applyBorder="1" applyAlignment="1">
      <alignment horizontal="center"/>
    </xf>
    <xf numFmtId="0" fontId="146" fillId="45" borderId="31" xfId="8726" applyFont="1" applyFill="1" applyBorder="1" applyAlignment="1">
      <alignment horizontal="center"/>
    </xf>
    <xf numFmtId="0" fontId="163" fillId="49" borderId="5" xfId="8726" applyFont="1" applyFill="1" applyBorder="1" applyAlignment="1" applyProtection="1">
      <alignment horizontal="left" wrapText="1"/>
      <protection locked="0"/>
    </xf>
    <xf numFmtId="0" fontId="163" fillId="49" borderId="83" xfId="8726" applyFont="1" applyFill="1" applyBorder="1" applyAlignment="1" applyProtection="1">
      <alignment horizontal="left"/>
      <protection locked="0"/>
    </xf>
    <xf numFmtId="0" fontId="163" fillId="49" borderId="92" xfId="8726" applyFont="1" applyFill="1" applyBorder="1" applyAlignment="1" applyProtection="1">
      <alignment horizontal="right"/>
      <protection locked="0"/>
    </xf>
    <xf numFmtId="0" fontId="163" fillId="49" borderId="4" xfId="8726" applyFont="1" applyFill="1" applyBorder="1" applyAlignment="1" applyProtection="1">
      <alignment horizontal="right"/>
      <protection locked="0"/>
    </xf>
    <xf numFmtId="0" fontId="163" fillId="49" borderId="5" xfId="8726" applyFont="1" applyFill="1" applyBorder="1" applyAlignment="1" applyProtection="1">
      <alignment horizontal="right"/>
      <protection locked="0"/>
    </xf>
    <xf numFmtId="0" fontId="163" fillId="49" borderId="3" xfId="8726" applyFont="1" applyFill="1" applyBorder="1" applyAlignment="1" applyProtection="1">
      <alignment horizontal="center"/>
      <protection locked="0"/>
    </xf>
    <xf numFmtId="0" fontId="163" fillId="49" borderId="4" xfId="8726" applyFont="1" applyFill="1" applyBorder="1" applyAlignment="1" applyProtection="1">
      <alignment horizontal="center"/>
      <protection locked="0"/>
    </xf>
    <xf numFmtId="0" fontId="163" fillId="49" borderId="5" xfId="8726" applyFont="1" applyFill="1" applyBorder="1" applyAlignment="1" applyProtection="1">
      <alignment horizontal="center"/>
      <protection locked="0"/>
    </xf>
    <xf numFmtId="168" fontId="163" fillId="49" borderId="3" xfId="8727" applyNumberFormat="1" applyFont="1" applyFill="1" applyBorder="1" applyAlignment="1" applyProtection="1">
      <alignment horizontal="center"/>
      <protection locked="0"/>
    </xf>
    <xf numFmtId="168" fontId="163" fillId="49" borderId="4" xfId="8727" applyNumberFormat="1" applyFont="1" applyFill="1" applyBorder="1" applyAlignment="1" applyProtection="1">
      <alignment horizontal="center"/>
      <protection locked="0"/>
    </xf>
    <xf numFmtId="168" fontId="163" fillId="49" borderId="5" xfId="8727" applyNumberFormat="1" applyFont="1" applyFill="1" applyBorder="1" applyAlignment="1" applyProtection="1">
      <alignment horizontal="center"/>
      <protection locked="0"/>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0" fontId="150" fillId="45" borderId="11" xfId="8726" applyFont="1" applyFill="1" applyBorder="1" applyAlignment="1">
      <alignment horizontal="center" vertical="center" wrapText="1"/>
    </xf>
    <xf numFmtId="0" fontId="150" fillId="45" borderId="91" xfId="8726" applyFont="1" applyFill="1" applyBorder="1" applyAlignment="1">
      <alignment horizontal="center" vertical="center" wrapText="1"/>
    </xf>
    <xf numFmtId="1" fontId="164" fillId="49" borderId="73" xfId="8726" applyNumberFormat="1" applyFont="1" applyFill="1" applyBorder="1" applyAlignment="1" applyProtection="1">
      <alignment horizontal="center"/>
      <protection locked="0"/>
    </xf>
    <xf numFmtId="1" fontId="164" fillId="49" borderId="84" xfId="8726" applyNumberFormat="1" applyFont="1" applyFill="1" applyBorder="1" applyAlignment="1" applyProtection="1">
      <alignment horizontal="center"/>
      <protection locked="0"/>
    </xf>
    <xf numFmtId="1" fontId="164" fillId="49" borderId="82" xfId="8726" applyNumberFormat="1" applyFont="1" applyFill="1" applyBorder="1" applyAlignment="1" applyProtection="1">
      <alignment horizontal="center"/>
      <protection locked="0"/>
    </xf>
    <xf numFmtId="1" fontId="164" fillId="49" borderId="83" xfId="8726" applyNumberFormat="1" applyFont="1" applyFill="1" applyBorder="1" applyAlignment="1" applyProtection="1">
      <alignment horizontal="center"/>
      <protection locked="0"/>
    </xf>
    <xf numFmtId="0" fontId="163" fillId="49" borderId="72" xfId="8726" applyFont="1" applyFill="1" applyBorder="1" applyAlignment="1" applyProtection="1">
      <alignment horizontal="right"/>
      <protection locked="0"/>
    </xf>
    <xf numFmtId="0" fontId="163" fillId="49" borderId="73" xfId="8726" applyFont="1" applyFill="1" applyBorder="1" applyAlignment="1" applyProtection="1">
      <alignment horizontal="right"/>
      <protection locked="0"/>
    </xf>
    <xf numFmtId="0" fontId="164" fillId="49" borderId="73"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9" fontId="150" fillId="44" borderId="84" xfId="8728" applyFont="1" applyFill="1" applyBorder="1" applyAlignment="1">
      <alignment horizontal="center"/>
    </xf>
    <xf numFmtId="9" fontId="150" fillId="44" borderId="82" xfId="8728" applyFont="1" applyFill="1" applyBorder="1" applyAlignment="1">
      <alignment horizontal="center"/>
    </xf>
    <xf numFmtId="9" fontId="150" fillId="44" borderId="85" xfId="8728" applyFont="1" applyFill="1" applyBorder="1" applyAlignment="1">
      <alignment horizontal="center"/>
    </xf>
    <xf numFmtId="9" fontId="150" fillId="44" borderId="3" xfId="8728" applyFont="1" applyFill="1" applyBorder="1" applyAlignment="1">
      <alignment horizontal="center"/>
    </xf>
    <xf numFmtId="9" fontId="150" fillId="44" borderId="4" xfId="8728" applyFont="1" applyFill="1" applyBorder="1" applyAlignment="1">
      <alignment horizontal="center"/>
    </xf>
    <xf numFmtId="9" fontId="150" fillId="44" borderId="79" xfId="8728" applyFont="1" applyFill="1" applyBorder="1" applyAlignment="1">
      <alignment horizontal="center"/>
    </xf>
    <xf numFmtId="0" fontId="149" fillId="44" borderId="88" xfId="8726" applyFont="1" applyFill="1" applyBorder="1" applyAlignment="1">
      <alignment horizontal="center"/>
    </xf>
    <xf numFmtId="0" fontId="149" fillId="44" borderId="42" xfId="8726" applyFont="1" applyFill="1" applyBorder="1" applyAlignment="1">
      <alignment horizontal="center"/>
    </xf>
    <xf numFmtId="0" fontId="149" fillId="44" borderId="87" xfId="8726" applyFont="1" applyFill="1" applyBorder="1" applyAlignment="1">
      <alignment horizontal="center"/>
    </xf>
    <xf numFmtId="9" fontId="149" fillId="49" borderId="13" xfId="8726" applyNumberFormat="1" applyFont="1" applyFill="1" applyBorder="1" applyAlignment="1" applyProtection="1">
      <alignment horizontal="center"/>
      <protection locked="0"/>
    </xf>
    <xf numFmtId="0" fontId="146" fillId="45" borderId="67" xfId="8726" applyFont="1" applyFill="1" applyBorder="1" applyAlignment="1">
      <alignment horizontal="center"/>
    </xf>
    <xf numFmtId="0" fontId="146" fillId="45" borderId="68" xfId="8726" applyFont="1" applyFill="1" applyBorder="1" applyAlignment="1">
      <alignment horizontal="center"/>
    </xf>
    <xf numFmtId="0" fontId="146" fillId="45" borderId="69" xfId="8726" applyFont="1" applyFill="1" applyBorder="1" applyAlignment="1">
      <alignment horizontal="center"/>
    </xf>
    <xf numFmtId="0" fontId="150" fillId="45" borderId="65" xfId="8726" applyFont="1" applyFill="1" applyBorder="1" applyAlignment="1">
      <alignment horizontal="center" vertical="center" wrapText="1"/>
    </xf>
    <xf numFmtId="0" fontId="150" fillId="45" borderId="29" xfId="8726" applyFont="1" applyFill="1" applyBorder="1" applyAlignment="1">
      <alignment horizontal="center" vertical="center" wrapText="1"/>
    </xf>
    <xf numFmtId="0" fontId="150" fillId="45" borderId="31" xfId="8726" applyFont="1" applyFill="1" applyBorder="1" applyAlignment="1">
      <alignment horizontal="center" vertical="center" wrapText="1"/>
    </xf>
    <xf numFmtId="0" fontId="150" fillId="45" borderId="86" xfId="8726" applyFont="1" applyFill="1" applyBorder="1" applyAlignment="1">
      <alignment horizontal="center" vertical="center" wrapText="1"/>
    </xf>
    <xf numFmtId="0" fontId="150" fillId="45" borderId="42" xfId="8726" applyFont="1" applyFill="1" applyBorder="1" applyAlignment="1">
      <alignment horizontal="center" vertical="center" wrapText="1"/>
    </xf>
    <xf numFmtId="0" fontId="150" fillId="45" borderId="44" xfId="8726" applyFont="1" applyFill="1" applyBorder="1" applyAlignment="1">
      <alignment horizontal="center" vertical="center" wrapText="1"/>
    </xf>
    <xf numFmtId="0" fontId="150" fillId="45" borderId="67" xfId="8726" applyFont="1" applyFill="1" applyBorder="1" applyAlignment="1">
      <alignment horizontal="center"/>
    </xf>
    <xf numFmtId="0" fontId="150" fillId="45" borderId="68" xfId="8726" applyFont="1" applyFill="1" applyBorder="1" applyAlignment="1">
      <alignment horizontal="center"/>
    </xf>
    <xf numFmtId="0" fontId="150" fillId="45" borderId="69" xfId="8726" applyFont="1" applyFill="1" applyBorder="1" applyAlignment="1">
      <alignment horizontal="center"/>
    </xf>
    <xf numFmtId="9" fontId="149" fillId="44" borderId="88"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150" fillId="45" borderId="95" xfId="8726" applyFont="1" applyFill="1" applyBorder="1" applyAlignment="1">
      <alignment horizontal="center" vertical="center" wrapText="1"/>
    </xf>
    <xf numFmtId="0" fontId="150" fillId="45" borderId="13" xfId="8726" applyFont="1" applyFill="1" applyBorder="1" applyAlignment="1">
      <alignment horizontal="center" vertical="center"/>
    </xf>
    <xf numFmtId="0" fontId="150" fillId="45" borderId="80" xfId="8726" applyFont="1" applyFill="1" applyBorder="1" applyAlignment="1">
      <alignment horizontal="center" vertical="center"/>
    </xf>
    <xf numFmtId="0" fontId="150" fillId="45" borderId="11" xfId="8726" applyFont="1" applyFill="1" applyBorder="1" applyAlignment="1">
      <alignment horizontal="center" vertical="center"/>
    </xf>
    <xf numFmtId="0" fontId="149" fillId="44" borderId="86" xfId="8726" applyFont="1" applyFill="1" applyBorder="1" applyAlignment="1">
      <alignment horizontal="center"/>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9" fontId="150" fillId="49" borderId="9" xfId="8726" applyNumberFormat="1" applyFont="1" applyFill="1" applyBorder="1" applyAlignment="1" applyProtection="1">
      <alignment horizontal="center"/>
      <protection locked="0"/>
    </xf>
    <xf numFmtId="9" fontId="150" fillId="49" borderId="6" xfId="8726" applyNumberFormat="1" applyFont="1" applyFill="1" applyBorder="1" applyAlignment="1" applyProtection="1">
      <alignment horizontal="center"/>
      <protection locked="0"/>
    </xf>
    <xf numFmtId="9" fontId="150" fillId="49" borderId="10" xfId="8726" applyNumberFormat="1" applyFont="1" applyFill="1" applyBorder="1" applyAlignment="1" applyProtection="1">
      <alignment horizontal="center"/>
      <protection locked="0"/>
    </xf>
    <xf numFmtId="0" fontId="150" fillId="44" borderId="9" xfId="8726" applyFont="1" applyFill="1" applyBorder="1" applyAlignment="1">
      <alignment horizontal="center"/>
    </xf>
    <xf numFmtId="0" fontId="150" fillId="44" borderId="6" xfId="8726" applyFont="1" applyFill="1" applyBorder="1" applyAlignment="1">
      <alignment horizontal="center"/>
    </xf>
    <xf numFmtId="0" fontId="150" fillId="44" borderId="10" xfId="8726" applyFont="1" applyFill="1" applyBorder="1" applyAlignment="1">
      <alignment horizontal="center"/>
    </xf>
    <xf numFmtId="0" fontId="150" fillId="44" borderId="103" xfId="8726" applyFont="1" applyFill="1" applyBorder="1" applyAlignment="1">
      <alignment horizontal="center"/>
    </xf>
    <xf numFmtId="9" fontId="163" fillId="49" borderId="92" xfId="8726" applyNumberFormat="1" applyFont="1" applyFill="1" applyBorder="1" applyAlignment="1">
      <alignment horizontal="center"/>
    </xf>
    <xf numFmtId="9" fontId="163" fillId="49" borderId="4" xfId="8726" applyNumberFormat="1" applyFont="1" applyFill="1" applyBorder="1" applyAlignment="1">
      <alignment horizontal="center"/>
    </xf>
    <xf numFmtId="9" fontId="163" fillId="49" borderId="5" xfId="8726" applyNumberFormat="1" applyFont="1" applyFill="1" applyBorder="1" applyAlignment="1">
      <alignment horizontal="center"/>
    </xf>
    <xf numFmtId="0" fontId="163" fillId="44" borderId="3" xfId="8726" applyFont="1" applyFill="1" applyBorder="1" applyAlignment="1">
      <alignment horizontal="center"/>
    </xf>
    <xf numFmtId="0" fontId="163" fillId="44" borderId="4" xfId="8726" applyFont="1" applyFill="1" applyBorder="1" applyAlignment="1">
      <alignment horizontal="center"/>
    </xf>
    <xf numFmtId="0" fontId="163" fillId="44" borderId="5" xfId="8726" applyFont="1" applyFill="1" applyBorder="1" applyAlignment="1">
      <alignment horizontal="center"/>
    </xf>
    <xf numFmtId="9" fontId="149" fillId="44" borderId="3" xfId="8726" applyNumberFormat="1" applyFont="1" applyFill="1" applyBorder="1" applyAlignment="1">
      <alignment horizontal="center"/>
    </xf>
    <xf numFmtId="9" fontId="149" fillId="44" borderId="4" xfId="8726" applyNumberFormat="1" applyFont="1" applyFill="1" applyBorder="1" applyAlignment="1">
      <alignment horizontal="center"/>
    </xf>
    <xf numFmtId="9" fontId="149" fillId="44" borderId="79" xfId="8726" applyNumberFormat="1" applyFont="1" applyFill="1" applyBorder="1" applyAlignment="1">
      <alignment horizontal="center"/>
    </xf>
    <xf numFmtId="0" fontId="149" fillId="44" borderId="81" xfId="8726" applyFont="1" applyFill="1" applyBorder="1" applyAlignment="1">
      <alignment horizontal="center"/>
    </xf>
    <xf numFmtId="0" fontId="149" fillId="44" borderId="82" xfId="8726" applyFont="1" applyFill="1" applyBorder="1" applyAlignment="1">
      <alignment horizontal="center"/>
    </xf>
    <xf numFmtId="0" fontId="149" fillId="44" borderId="83" xfId="8726" applyFont="1" applyFill="1" applyBorder="1" applyAlignment="1">
      <alignment horizontal="center"/>
    </xf>
    <xf numFmtId="0" fontId="163" fillId="44" borderId="84" xfId="8726" applyFont="1" applyFill="1" applyBorder="1" applyAlignment="1">
      <alignment horizontal="center"/>
    </xf>
    <xf numFmtId="0" fontId="163" fillId="44" borderId="82" xfId="8726" applyFont="1" applyFill="1" applyBorder="1" applyAlignment="1">
      <alignment horizontal="center"/>
    </xf>
    <xf numFmtId="0" fontId="163" fillId="44" borderId="83" xfId="8726" applyFont="1" applyFill="1" applyBorder="1" applyAlignment="1">
      <alignment horizontal="center"/>
    </xf>
    <xf numFmtId="9" fontId="149" fillId="44" borderId="84" xfId="8726" applyNumberFormat="1" applyFont="1" applyFill="1" applyBorder="1" applyAlignment="1">
      <alignment horizontal="center"/>
    </xf>
    <xf numFmtId="9" fontId="149" fillId="44" borderId="82" xfId="8726" applyNumberFormat="1" applyFont="1" applyFill="1" applyBorder="1" applyAlignment="1">
      <alignment horizontal="center"/>
    </xf>
    <xf numFmtId="9" fontId="149" fillId="44" borderId="85" xfId="8726" applyNumberFormat="1" applyFont="1" applyFill="1" applyBorder="1" applyAlignment="1">
      <alignment horizontal="center"/>
    </xf>
    <xf numFmtId="0" fontId="149" fillId="45" borderId="13"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11" xfId="8726" applyFont="1" applyFill="1" applyBorder="1" applyAlignment="1">
      <alignment horizontal="center" vertical="center"/>
    </xf>
    <xf numFmtId="0" fontId="149" fillId="45" borderId="9" xfId="8726" applyFont="1" applyFill="1" applyBorder="1" applyAlignment="1">
      <alignment horizontal="center" vertical="center"/>
    </xf>
    <xf numFmtId="0" fontId="149" fillId="45" borderId="3" xfId="8726" applyFont="1" applyFill="1" applyBorder="1" applyAlignment="1">
      <alignment horizontal="center" vertical="center"/>
    </xf>
    <xf numFmtId="0" fontId="149" fillId="45" borderId="78" xfId="8726" applyFont="1" applyFill="1" applyBorder="1" applyAlignment="1">
      <alignment horizontal="center"/>
    </xf>
    <xf numFmtId="0" fontId="149" fillId="45" borderId="2" xfId="8726" applyFont="1" applyFill="1" applyBorder="1" applyAlignment="1">
      <alignment horizontal="center"/>
    </xf>
    <xf numFmtId="0" fontId="149" fillId="45" borderId="7" xfId="8726" applyFont="1" applyFill="1" applyBorder="1" applyAlignment="1">
      <alignment horizontal="center"/>
    </xf>
    <xf numFmtId="0" fontId="149" fillId="45" borderId="3" xfId="8726" applyFont="1" applyFill="1" applyBorder="1" applyAlignment="1">
      <alignment horizontal="center"/>
    </xf>
    <xf numFmtId="0" fontId="149" fillId="45" borderId="4" xfId="8726" applyFont="1" applyFill="1" applyBorder="1" applyAlignment="1">
      <alignment horizontal="center"/>
    </xf>
    <xf numFmtId="0" fontId="149" fillId="45" borderId="5" xfId="8726" applyFont="1" applyFill="1" applyBorder="1" applyAlignment="1">
      <alignment horizontal="center"/>
    </xf>
    <xf numFmtId="0" fontId="149" fillId="45" borderId="79" xfId="8726" applyFont="1" applyFill="1" applyBorder="1" applyAlignment="1">
      <alignment horizontal="center"/>
    </xf>
    <xf numFmtId="168" fontId="165" fillId="44" borderId="11" xfId="8727" applyNumberFormat="1" applyFont="1" applyFill="1" applyBorder="1" applyAlignment="1" applyProtection="1">
      <alignment horizontal="left"/>
    </xf>
    <xf numFmtId="0" fontId="149" fillId="45" borderId="11" xfId="8726" applyFont="1" applyFill="1" applyBorder="1" applyAlignment="1">
      <alignment horizontal="right"/>
    </xf>
    <xf numFmtId="1" fontId="4" fillId="44" borderId="11" xfId="8726" applyNumberFormat="1" applyFill="1" applyBorder="1" applyAlignment="1">
      <alignment horizontal="center"/>
    </xf>
    <xf numFmtId="0" fontId="4" fillId="44" borderId="11" xfId="8726" applyFill="1" applyBorder="1" applyAlignment="1">
      <alignment horizontal="center"/>
    </xf>
    <xf numFmtId="0" fontId="147" fillId="45" borderId="11" xfId="8726" applyFont="1" applyFill="1" applyBorder="1" applyAlignment="1">
      <alignment horizontal="right" wrapText="1"/>
    </xf>
    <xf numFmtId="14" fontId="148" fillId="49" borderId="11" xfId="8726" applyNumberFormat="1" applyFont="1" applyFill="1" applyBorder="1" applyAlignment="1" applyProtection="1">
      <alignment horizontal="center" vertical="center"/>
      <protection locked="0"/>
    </xf>
    <xf numFmtId="0" fontId="148" fillId="49" borderId="11" xfId="8726" applyFont="1" applyFill="1" applyBorder="1" applyAlignment="1" applyProtection="1">
      <alignment horizontal="center" vertical="center"/>
      <protection locked="0"/>
    </xf>
    <xf numFmtId="0" fontId="102" fillId="45" borderId="67" xfId="8726" applyFont="1" applyFill="1" applyBorder="1" applyAlignment="1">
      <alignment horizontal="center"/>
    </xf>
    <xf numFmtId="0" fontId="102" fillId="45" borderId="68" xfId="8726" applyFont="1" applyFill="1" applyBorder="1" applyAlignment="1">
      <alignment horizontal="center"/>
    </xf>
    <xf numFmtId="0" fontId="102" fillId="45" borderId="69" xfId="8726" applyFont="1" applyFill="1" applyBorder="1" applyAlignment="1">
      <alignment horizontal="center"/>
    </xf>
    <xf numFmtId="0" fontId="148" fillId="49" borderId="67" xfId="8726" applyFont="1" applyFill="1" applyBorder="1" applyAlignment="1" applyProtection="1">
      <alignment horizontal="center"/>
      <protection locked="0"/>
    </xf>
    <xf numFmtId="0" fontId="148" fillId="49" borderId="68" xfId="8726" applyFont="1" applyFill="1" applyBorder="1" applyAlignment="1" applyProtection="1">
      <alignment horizontal="center"/>
      <protection locked="0"/>
    </xf>
    <xf numFmtId="0" fontId="148" fillId="49" borderId="69" xfId="8726" applyFont="1" applyFill="1" applyBorder="1" applyAlignment="1" applyProtection="1">
      <alignment horizontal="center"/>
      <protection locked="0"/>
    </xf>
    <xf numFmtId="0" fontId="102" fillId="45" borderId="67" xfId="8726" applyFont="1" applyFill="1" applyBorder="1" applyAlignment="1">
      <alignment horizontal="right"/>
    </xf>
    <xf numFmtId="0" fontId="102" fillId="45" borderId="68" xfId="8726" applyFont="1" applyFill="1" applyBorder="1" applyAlignment="1">
      <alignment horizontal="right"/>
    </xf>
    <xf numFmtId="0" fontId="102" fillId="45" borderId="99" xfId="8726" applyFont="1" applyFill="1" applyBorder="1" applyAlignment="1">
      <alignment horizontal="right"/>
    </xf>
    <xf numFmtId="0" fontId="4" fillId="44" borderId="97" xfId="8726" applyFill="1" applyBorder="1" applyAlignment="1">
      <alignment horizontal="center"/>
    </xf>
    <xf numFmtId="0" fontId="4" fillId="44" borderId="98" xfId="8726" applyFill="1" applyBorder="1" applyAlignment="1">
      <alignment horizontal="center"/>
    </xf>
    <xf numFmtId="1" fontId="148" fillId="49" borderId="11" xfId="8726" applyNumberFormat="1" applyFont="1" applyFill="1" applyBorder="1" applyAlignment="1" applyProtection="1">
      <alignment horizontal="center"/>
      <protection locked="0"/>
    </xf>
    <xf numFmtId="0" fontId="145" fillId="47" borderId="65" xfId="8726" applyFont="1" applyFill="1" applyBorder="1" applyAlignment="1">
      <alignment horizontal="center"/>
    </xf>
    <xf numFmtId="0" fontId="145" fillId="47" borderId="29" xfId="8726" applyFont="1" applyFill="1" applyBorder="1" applyAlignment="1">
      <alignment horizontal="center"/>
    </xf>
    <xf numFmtId="0" fontId="145" fillId="47" borderId="31" xfId="8726" applyFont="1" applyFill="1" applyBorder="1" applyAlignment="1">
      <alignment horizontal="center"/>
    </xf>
    <xf numFmtId="0" fontId="146" fillId="49" borderId="66" xfId="8726" applyFont="1" applyFill="1" applyBorder="1" applyAlignment="1">
      <alignment horizontal="center"/>
    </xf>
    <xf numFmtId="0" fontId="146" fillId="49" borderId="0" xfId="8726" applyFont="1" applyFill="1" applyAlignment="1">
      <alignment horizontal="center"/>
    </xf>
    <xf numFmtId="0" fontId="146" fillId="49" borderId="41" xfId="8726" applyFont="1" applyFill="1" applyBorder="1" applyAlignment="1">
      <alignment horizontal="center"/>
    </xf>
    <xf numFmtId="0" fontId="148" fillId="44" borderId="67" xfId="8726" applyFont="1" applyFill="1" applyBorder="1" applyAlignment="1">
      <alignment horizontal="left"/>
    </xf>
    <xf numFmtId="0" fontId="148" fillId="44" borderId="68" xfId="8726" applyFont="1" applyFill="1" applyBorder="1" applyAlignment="1">
      <alignment horizontal="left"/>
    </xf>
    <xf numFmtId="0" fontId="148" fillId="44" borderId="69" xfId="8726" applyFont="1" applyFill="1" applyBorder="1" applyAlignment="1">
      <alignment horizontal="left"/>
    </xf>
    <xf numFmtId="0" fontId="147" fillId="45" borderId="11" xfId="8726" applyFont="1" applyFill="1" applyBorder="1" applyAlignment="1">
      <alignment horizontal="right"/>
    </xf>
    <xf numFmtId="0" fontId="4" fillId="44" borderId="67" xfId="8726" applyFill="1" applyBorder="1" applyAlignment="1">
      <alignment horizontal="center"/>
    </xf>
    <xf numFmtId="0" fontId="4" fillId="44" borderId="68" xfId="8726" applyFill="1" applyBorder="1" applyAlignment="1">
      <alignment horizontal="center"/>
    </xf>
    <xf numFmtId="0" fontId="4" fillId="44" borderId="69" xfId="8726" applyFill="1" applyBorder="1" applyAlignment="1">
      <alignment horizontal="center"/>
    </xf>
    <xf numFmtId="0" fontId="102" fillId="45" borderId="70" xfId="8726" applyFont="1" applyFill="1" applyBorder="1" applyAlignment="1">
      <alignment horizontal="center" wrapText="1"/>
    </xf>
    <xf numFmtId="0" fontId="102" fillId="45" borderId="71" xfId="8726" applyFont="1" applyFill="1" applyBorder="1" applyAlignment="1">
      <alignment horizontal="center" wrapText="1"/>
    </xf>
    <xf numFmtId="0" fontId="102" fillId="45" borderId="74" xfId="8726" applyFont="1" applyFill="1" applyBorder="1" applyAlignment="1">
      <alignment horizontal="center" wrapText="1"/>
    </xf>
    <xf numFmtId="0" fontId="102" fillId="45" borderId="104" xfId="8726" applyFont="1" applyFill="1" applyBorder="1" applyAlignment="1">
      <alignment horizontal="center"/>
    </xf>
    <xf numFmtId="0" fontId="102" fillId="45" borderId="97" xfId="8726" applyFont="1" applyFill="1" applyBorder="1" applyAlignment="1">
      <alignment horizontal="center"/>
    </xf>
    <xf numFmtId="0" fontId="102" fillId="45" borderId="98" xfId="8726" applyFont="1" applyFill="1" applyBorder="1" applyAlignment="1">
      <alignment horizontal="center"/>
    </xf>
    <xf numFmtId="43" fontId="146" fillId="56" borderId="13" xfId="698" applyFont="1" applyFill="1" applyBorder="1" applyAlignment="1" applyProtection="1">
      <alignment horizontal="center"/>
      <protection hidden="1"/>
    </xf>
    <xf numFmtId="43" fontId="148" fillId="53" borderId="11" xfId="698" applyFont="1" applyFill="1" applyBorder="1" applyAlignment="1" applyProtection="1">
      <alignment horizontal="left" wrapText="1"/>
      <protection hidden="1"/>
    </xf>
    <xf numFmtId="0" fontId="163" fillId="45" borderId="11" xfId="8726" applyFont="1" applyFill="1" applyBorder="1" applyAlignment="1">
      <alignment horizontal="left"/>
    </xf>
    <xf numFmtId="0" fontId="173" fillId="45" borderId="11" xfId="8726" applyFont="1" applyFill="1" applyBorder="1" applyAlignment="1">
      <alignment horizontal="left" wrapText="1"/>
    </xf>
    <xf numFmtId="0" fontId="150" fillId="45" borderId="13" xfId="0" applyFont="1" applyFill="1" applyBorder="1" applyAlignment="1" applyProtection="1">
      <alignment horizontal="left" wrapText="1"/>
      <protection hidden="1"/>
    </xf>
    <xf numFmtId="0" fontId="150" fillId="45" borderId="13" xfId="0" applyFont="1" applyFill="1" applyBorder="1" applyAlignment="1" applyProtection="1">
      <alignment horizontal="center" wrapText="1"/>
      <protection hidden="1"/>
    </xf>
    <xf numFmtId="182" fontId="4" fillId="0" borderId="13" xfId="8726" applyNumberFormat="1" applyBorder="1" applyAlignment="1">
      <alignment horizontal="center"/>
    </xf>
    <xf numFmtId="0" fontId="4" fillId="0" borderId="13" xfId="8726" applyBorder="1" applyAlignment="1">
      <alignment horizontal="center"/>
    </xf>
    <xf numFmtId="44" fontId="4" fillId="0" borderId="11" xfId="700" applyFont="1" applyBorder="1" applyAlignment="1" applyProtection="1">
      <alignment horizontal="center"/>
      <protection hidden="1"/>
    </xf>
    <xf numFmtId="44" fontId="4" fillId="49" borderId="11" xfId="700" applyFont="1" applyFill="1" applyBorder="1" applyAlignment="1" applyProtection="1">
      <alignment horizontal="center"/>
      <protection hidden="1"/>
    </xf>
    <xf numFmtId="168" fontId="148" fillId="49" borderId="11" xfId="8727" applyNumberFormat="1" applyFont="1" applyFill="1" applyBorder="1" applyAlignment="1">
      <alignment horizontal="center"/>
    </xf>
    <xf numFmtId="0" fontId="146" fillId="44" borderId="11" xfId="8726" applyFont="1" applyFill="1" applyBorder="1" applyAlignment="1">
      <alignment horizontal="left"/>
    </xf>
    <xf numFmtId="0" fontId="163" fillId="48" borderId="3" xfId="8726" applyFont="1" applyFill="1" applyBorder="1" applyAlignment="1">
      <alignment horizontal="center"/>
    </xf>
    <xf numFmtId="0" fontId="163" fillId="48" borderId="4" xfId="8726" applyFont="1" applyFill="1" applyBorder="1" applyAlignment="1">
      <alignment horizontal="center"/>
    </xf>
    <xf numFmtId="0" fontId="163" fillId="48" borderId="5" xfId="8726" applyFont="1" applyFill="1" applyBorder="1" applyAlignment="1">
      <alignment horizontal="center"/>
    </xf>
    <xf numFmtId="0" fontId="148" fillId="49" borderId="3" xfId="0" applyFont="1" applyFill="1" applyBorder="1" applyAlignment="1" applyProtection="1">
      <alignment horizontal="center"/>
      <protection locked="0"/>
    </xf>
    <xf numFmtId="0" fontId="148" fillId="49" borderId="4" xfId="0" applyFont="1" applyFill="1" applyBorder="1" applyAlignment="1" applyProtection="1">
      <alignment horizontal="center"/>
      <protection locked="0"/>
    </xf>
    <xf numFmtId="0" fontId="148" fillId="49" borderId="5" xfId="0" applyFont="1" applyFill="1" applyBorder="1" applyAlignment="1" applyProtection="1">
      <alignment horizontal="center"/>
      <protection locked="0"/>
    </xf>
    <xf numFmtId="43" fontId="146" fillId="53" borderId="80" xfId="698" applyFont="1" applyFill="1" applyBorder="1" applyAlignment="1" applyProtection="1">
      <alignment horizontal="right"/>
      <protection hidden="1"/>
    </xf>
    <xf numFmtId="43" fontId="146" fillId="53" borderId="11" xfId="698" applyFont="1" applyFill="1" applyBorder="1" applyAlignment="1" applyProtection="1">
      <alignment horizontal="right"/>
      <protection hidden="1"/>
    </xf>
    <xf numFmtId="44" fontId="146" fillId="0" borderId="11" xfId="700" applyFont="1" applyBorder="1" applyAlignment="1" applyProtection="1">
      <alignment horizontal="center"/>
      <protection hidden="1"/>
    </xf>
    <xf numFmtId="164" fontId="146" fillId="0" borderId="11" xfId="700" applyNumberFormat="1" applyFont="1" applyBorder="1" applyAlignment="1" applyProtection="1">
      <alignment horizontal="center"/>
      <protection hidden="1"/>
    </xf>
    <xf numFmtId="9" fontId="146" fillId="0" borderId="11" xfId="1022" applyFont="1" applyBorder="1" applyAlignment="1" applyProtection="1">
      <alignment horizontal="center"/>
      <protection hidden="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3"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7" fillId="0" borderId="0" xfId="569" applyFont="1" applyAlignment="1">
      <alignment horizontal="left" wrapText="1"/>
    </xf>
    <xf numFmtId="168" fontId="16" fillId="0" borderId="3" xfId="569" applyNumberFormat="1" applyBorder="1" applyAlignment="1" applyProtection="1">
      <alignment horizontal="right"/>
      <protection locked="0"/>
    </xf>
    <xf numFmtId="168" fontId="16" fillId="0" borderId="4" xfId="569" applyNumberFormat="1" applyBorder="1" applyAlignment="1" applyProtection="1">
      <alignment horizontal="right"/>
      <protection locked="0"/>
    </xf>
    <xf numFmtId="168" fontId="16" fillId="0" borderId="5" xfId="569" applyNumberFormat="1" applyBorder="1" applyAlignment="1" applyProtection="1">
      <alignment horizontal="right"/>
      <protection locked="0"/>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7" fillId="0" borderId="0" xfId="0" applyFont="1" applyAlignment="1">
      <alignment horizontal="left" vertical="top" wrapText="1"/>
    </xf>
    <xf numFmtId="0" fontId="21" fillId="0" borderId="6" xfId="271" applyFont="1" applyBorder="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684A0FDD-021C-4565-BAF9-705B402A4576}"/>
    <cellStyle name="20% - Accent1 11" xfId="8729" xr:uid="{D489C09B-B590-4808-8727-C9FFC023340C}"/>
    <cellStyle name="20% - Accent1 2" xfId="2" xr:uid="{00000000-0005-0000-0000-000002000000}"/>
    <cellStyle name="20% - Accent1 2 10" xfId="8730" xr:uid="{ED2F7653-28D8-4B7E-8DD5-821B979DBCC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E3D61CC4-EBC2-49BB-867B-44F893B724C0}"/>
    <cellStyle name="20% - Accent1 2 2 2 2 2 3" xfId="11291" xr:uid="{DDAEEDB7-0284-480C-9894-92C63FC04572}"/>
    <cellStyle name="20% - Accent1 2 2 2 2 3" xfId="4922" xr:uid="{00000000-0005-0000-0000-000008000000}"/>
    <cellStyle name="20% - Accent1 2 2 2 2 3 2" xfId="13364" xr:uid="{5F26A71D-17F4-4FAF-8A0A-0ABD9E4D0D7C}"/>
    <cellStyle name="20% - Accent1 2 2 2 2 4" xfId="9146" xr:uid="{BF9F09EF-DE9A-4527-A381-AE51A24FB55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D0BBCB6E-967E-4744-8EEB-1791105B472E}"/>
    <cellStyle name="20% - Accent1 2 2 2 3 2 3" xfId="11704" xr:uid="{59709BE6-2382-43BF-BC8D-5480388EACB2}"/>
    <cellStyle name="20% - Accent1 2 2 2 3 3" xfId="5335" xr:uid="{00000000-0005-0000-0000-00000C000000}"/>
    <cellStyle name="20% - Accent1 2 2 2 3 3 2" xfId="13777" xr:uid="{5889565B-B936-4839-A6D4-02C5B0C19820}"/>
    <cellStyle name="20% - Accent1 2 2 2 3 4" xfId="9559" xr:uid="{DA848EC2-9E83-48E0-ADD9-EAA0A21B15E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042C451E-5E49-467F-B5A2-5222071548F1}"/>
    <cellStyle name="20% - Accent1 2 2 2 4 2 3" xfId="12117" xr:uid="{C5B35458-E45E-47C5-A06C-C3E7077208DE}"/>
    <cellStyle name="20% - Accent1 2 2 2 4 3" xfId="5748" xr:uid="{00000000-0005-0000-0000-000010000000}"/>
    <cellStyle name="20% - Accent1 2 2 2 4 3 2" xfId="14190" xr:uid="{AAEE9491-88C3-4F19-B210-F0DA5DDD2EA9}"/>
    <cellStyle name="20% - Accent1 2 2 2 4 4" xfId="9972" xr:uid="{CC023327-7328-49A8-BD8A-731D87200E25}"/>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57250AA8-4CFA-411E-8997-2CF79F5BA962}"/>
    <cellStyle name="20% - Accent1 2 2 2 5 2 3" xfId="12530" xr:uid="{33AFF783-88D2-408C-8BC1-D87367D12140}"/>
    <cellStyle name="20% - Accent1 2 2 2 5 3" xfId="6161" xr:uid="{00000000-0005-0000-0000-000014000000}"/>
    <cellStyle name="20% - Accent1 2 2 2 5 3 2" xfId="14603" xr:uid="{9E1C874D-F8C7-4053-8047-54603FE0540E}"/>
    <cellStyle name="20% - Accent1 2 2 2 5 4" xfId="10385" xr:uid="{125A146A-1A96-48FA-822B-29AACA8A5FC6}"/>
    <cellStyle name="20% - Accent1 2 2 2 6" xfId="2267" xr:uid="{00000000-0005-0000-0000-000015000000}"/>
    <cellStyle name="20% - Accent1 2 2 2 6 2" xfId="6574" xr:uid="{00000000-0005-0000-0000-000016000000}"/>
    <cellStyle name="20% - Accent1 2 2 2 6 2 2" xfId="15016" xr:uid="{9D585190-4100-40E1-93A5-330DACFEEAF6}"/>
    <cellStyle name="20% - Accent1 2 2 2 6 3" xfId="10798" xr:uid="{6624F755-C3F5-4317-AECA-C3162D9A993D}"/>
    <cellStyle name="20% - Accent1 2 2 2 7" xfId="4508" xr:uid="{00000000-0005-0000-0000-000017000000}"/>
    <cellStyle name="20% - Accent1 2 2 2 7 2" xfId="12950" xr:uid="{5E05C200-9891-456A-9F75-3B13256645D2}"/>
    <cellStyle name="20% - Accent1 2 2 2 8" xfId="8732" xr:uid="{F6F4E524-F5BC-4E3A-983C-E958DE351B29}"/>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CE97E327-9A4F-4C55-8897-41EEA8A4785C}"/>
    <cellStyle name="20% - Accent1 2 2 3 2 3" xfId="11290" xr:uid="{6F635023-FDAD-4FDE-A9C4-CC31F808EBEA}"/>
    <cellStyle name="20% - Accent1 2 2 3 3" xfId="4921" xr:uid="{00000000-0005-0000-0000-00001B000000}"/>
    <cellStyle name="20% - Accent1 2 2 3 3 2" xfId="13363" xr:uid="{7A7E9F0D-FCD4-44D9-97D0-7F910995BEF9}"/>
    <cellStyle name="20% - Accent1 2 2 3 4" xfId="9145" xr:uid="{4A6F9002-A137-4479-8C60-6150A010ED3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EC91E788-DB4C-49EB-B5C3-E8F3A4339040}"/>
    <cellStyle name="20% - Accent1 2 2 4 2 3" xfId="11703" xr:uid="{998DA57E-F0DB-468E-BC07-20968D9FDB8D}"/>
    <cellStyle name="20% - Accent1 2 2 4 3" xfId="5334" xr:uid="{00000000-0005-0000-0000-00001F000000}"/>
    <cellStyle name="20% - Accent1 2 2 4 3 2" xfId="13776" xr:uid="{7AC5B713-B6AD-4C62-AB70-A96A7D2C8F2F}"/>
    <cellStyle name="20% - Accent1 2 2 4 4" xfId="9558" xr:uid="{CC426221-ACDE-489C-8B22-337E476E488A}"/>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814A6472-733D-4346-99F5-31210955C8D9}"/>
    <cellStyle name="20% - Accent1 2 2 5 2 3" xfId="12116" xr:uid="{AF39075D-7389-411E-8829-36F59E0CE79E}"/>
    <cellStyle name="20% - Accent1 2 2 5 3" xfId="5747" xr:uid="{00000000-0005-0000-0000-000023000000}"/>
    <cellStyle name="20% - Accent1 2 2 5 3 2" xfId="14189" xr:uid="{76152881-C62A-4848-97E0-C7C51331D143}"/>
    <cellStyle name="20% - Accent1 2 2 5 4" xfId="9971" xr:uid="{A2E5F8A1-DDF3-4B0D-827A-2D72BA4579AA}"/>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00E44432-9640-4BB9-A53A-495928E8771D}"/>
    <cellStyle name="20% - Accent1 2 2 6 2 3" xfId="12529" xr:uid="{89B88F01-BDA9-49C7-B54D-3764F7191573}"/>
    <cellStyle name="20% - Accent1 2 2 6 3" xfId="6160" xr:uid="{00000000-0005-0000-0000-000027000000}"/>
    <cellStyle name="20% - Accent1 2 2 6 3 2" xfId="14602" xr:uid="{D9B48E28-C793-4F73-9822-DF5FDD8F288F}"/>
    <cellStyle name="20% - Accent1 2 2 6 4" xfId="10384" xr:uid="{F51B82E5-1D95-4F92-8F3E-3CB0A988A2FF}"/>
    <cellStyle name="20% - Accent1 2 2 7" xfId="2266" xr:uid="{00000000-0005-0000-0000-000028000000}"/>
    <cellStyle name="20% - Accent1 2 2 7 2" xfId="6573" xr:uid="{00000000-0005-0000-0000-000029000000}"/>
    <cellStyle name="20% - Accent1 2 2 7 2 2" xfId="15015" xr:uid="{DEB09682-BE43-4BD4-AC84-41FAC38744E6}"/>
    <cellStyle name="20% - Accent1 2 2 7 3" xfId="10797" xr:uid="{2E36AFEB-3CE0-4887-B0FC-E5430EC240A5}"/>
    <cellStyle name="20% - Accent1 2 2 8" xfId="4507" xr:uid="{00000000-0005-0000-0000-00002A000000}"/>
    <cellStyle name="20% - Accent1 2 2 8 2" xfId="12949" xr:uid="{FB0329E7-76B9-4DD4-9251-C2800E75C8A8}"/>
    <cellStyle name="20% - Accent1 2 2 9" xfId="8731" xr:uid="{3B134A07-2845-4805-BB5B-5B51FA896C2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561C490F-3C7E-4C34-B83C-3050009C5B46}"/>
    <cellStyle name="20% - Accent1 2 3 2 2 3" xfId="11292" xr:uid="{E41B6D80-3856-4AB3-AB61-3D1AC09A90DE}"/>
    <cellStyle name="20% - Accent1 2 3 2 3" xfId="4923" xr:uid="{00000000-0005-0000-0000-00002F000000}"/>
    <cellStyle name="20% - Accent1 2 3 2 3 2" xfId="13365" xr:uid="{C9ECA00F-AB0A-4186-A2E7-3D56309ECE11}"/>
    <cellStyle name="20% - Accent1 2 3 2 4" xfId="9147" xr:uid="{6CA27D8C-827C-4083-B4D9-2A7344F5C645}"/>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ABB49A71-4DB3-4C4A-B50E-2ECCB83ABB01}"/>
    <cellStyle name="20% - Accent1 2 3 3 2 3" xfId="11705" xr:uid="{BD0E6A64-6EDB-48BF-84C2-967A0F00FFFA}"/>
    <cellStyle name="20% - Accent1 2 3 3 3" xfId="5336" xr:uid="{00000000-0005-0000-0000-000033000000}"/>
    <cellStyle name="20% - Accent1 2 3 3 3 2" xfId="13778" xr:uid="{EDE22004-313E-4639-B80D-33BBFFD47F3C}"/>
    <cellStyle name="20% - Accent1 2 3 3 4" xfId="9560" xr:uid="{28724CA5-F245-4EB4-B158-35C6CC6AF3E4}"/>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927C154D-367B-4CDD-B951-59350343A72A}"/>
    <cellStyle name="20% - Accent1 2 3 4 2 3" xfId="12118" xr:uid="{F99B44C5-6C8D-4512-8103-43C9F26300C3}"/>
    <cellStyle name="20% - Accent1 2 3 4 3" xfId="5749" xr:uid="{00000000-0005-0000-0000-000037000000}"/>
    <cellStyle name="20% - Accent1 2 3 4 3 2" xfId="14191" xr:uid="{C4592A58-9EAE-42C7-95F9-D65F83433F29}"/>
    <cellStyle name="20% - Accent1 2 3 4 4" xfId="9973" xr:uid="{228C9A71-4CFC-46E2-8114-B6383AC4873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56095D7E-473E-43BE-83FA-4F5F377171AB}"/>
    <cellStyle name="20% - Accent1 2 3 5 2 3" xfId="12531" xr:uid="{0563518C-69C7-450E-BD6A-4780504F0AC8}"/>
    <cellStyle name="20% - Accent1 2 3 5 3" xfId="6162" xr:uid="{00000000-0005-0000-0000-00003B000000}"/>
    <cellStyle name="20% - Accent1 2 3 5 3 2" xfId="14604" xr:uid="{E56E2DE4-62BE-41DB-BC0A-D823686BAB35}"/>
    <cellStyle name="20% - Accent1 2 3 5 4" xfId="10386" xr:uid="{9CECB698-F61C-487C-89BF-D65484D37DB9}"/>
    <cellStyle name="20% - Accent1 2 3 6" xfId="2268" xr:uid="{00000000-0005-0000-0000-00003C000000}"/>
    <cellStyle name="20% - Accent1 2 3 6 2" xfId="6575" xr:uid="{00000000-0005-0000-0000-00003D000000}"/>
    <cellStyle name="20% - Accent1 2 3 6 2 2" xfId="15017" xr:uid="{57D6DE96-71D3-42EC-80D4-222A6CC2D0E9}"/>
    <cellStyle name="20% - Accent1 2 3 6 3" xfId="10799" xr:uid="{B3836E8A-9BFC-4E61-B30C-E73BE532DD4B}"/>
    <cellStyle name="20% - Accent1 2 3 7" xfId="4509" xr:uid="{00000000-0005-0000-0000-00003E000000}"/>
    <cellStyle name="20% - Accent1 2 3 7 2" xfId="12951" xr:uid="{3078880E-5382-4BCD-A003-F7524F7FC33B}"/>
    <cellStyle name="20% - Accent1 2 3 8" xfId="8733" xr:uid="{89611857-FF98-43EA-9029-0439CB47DC87}"/>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1BBB1630-0D2B-474F-88B6-0703E9E75885}"/>
    <cellStyle name="20% - Accent1 2 4 2 3" xfId="11289" xr:uid="{E4C69166-8AA2-470A-B674-49C6123A1E52}"/>
    <cellStyle name="20% - Accent1 2 4 3" xfId="4920" xr:uid="{00000000-0005-0000-0000-000042000000}"/>
    <cellStyle name="20% - Accent1 2 4 3 2" xfId="13362" xr:uid="{C2046A3D-B110-4C66-A1F1-5A1CF5387E4F}"/>
    <cellStyle name="20% - Accent1 2 4 4" xfId="9144" xr:uid="{5298264B-266B-4813-9F48-06098A82F046}"/>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B132E0F9-6E43-4CF7-8826-6AA7FC913299}"/>
    <cellStyle name="20% - Accent1 2 5 2 3" xfId="11702" xr:uid="{D348219C-7792-487F-98E4-BA707F058EAD}"/>
    <cellStyle name="20% - Accent1 2 5 3" xfId="5333" xr:uid="{00000000-0005-0000-0000-000046000000}"/>
    <cellStyle name="20% - Accent1 2 5 3 2" xfId="13775" xr:uid="{7E1BA241-B435-4D4F-9435-EA367DD4F723}"/>
    <cellStyle name="20% - Accent1 2 5 4" xfId="9557" xr:uid="{3E975507-F538-44C0-9A1D-1FA15BB88AD1}"/>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246C0E55-8751-416F-8866-22015E01F0B5}"/>
    <cellStyle name="20% - Accent1 2 6 2 3" xfId="12115" xr:uid="{0C26A241-9504-4580-BFCD-10604245EFAC}"/>
    <cellStyle name="20% - Accent1 2 6 3" xfId="5746" xr:uid="{00000000-0005-0000-0000-00004A000000}"/>
    <cellStyle name="20% - Accent1 2 6 3 2" xfId="14188" xr:uid="{05E78137-6D7D-4D59-8825-E0E2758273F1}"/>
    <cellStyle name="20% - Accent1 2 6 4" xfId="9970" xr:uid="{DFCF902C-CDE8-4290-AF98-803D05071CB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9754FE8E-0D6C-41CE-BD77-A00657F4C3F3}"/>
    <cellStyle name="20% - Accent1 2 7 2 3" xfId="12528" xr:uid="{A0DA521E-625C-43B4-9C25-E5EFC6D6A519}"/>
    <cellStyle name="20% - Accent1 2 7 3" xfId="6159" xr:uid="{00000000-0005-0000-0000-00004E000000}"/>
    <cellStyle name="20% - Accent1 2 7 3 2" xfId="14601" xr:uid="{2B0EA50C-69BB-41B4-AE7D-C244C1817601}"/>
    <cellStyle name="20% - Accent1 2 7 4" xfId="10383" xr:uid="{A7AF781D-011C-42AB-AF50-49A5AC9A24A3}"/>
    <cellStyle name="20% - Accent1 2 8" xfId="2265" xr:uid="{00000000-0005-0000-0000-00004F000000}"/>
    <cellStyle name="20% - Accent1 2 8 2" xfId="6572" xr:uid="{00000000-0005-0000-0000-000050000000}"/>
    <cellStyle name="20% - Accent1 2 8 2 2" xfId="15014" xr:uid="{5DA193D0-75E3-4245-9AE0-4D7F7435EEB6}"/>
    <cellStyle name="20% - Accent1 2 8 3" xfId="10796" xr:uid="{2C46EA1E-637A-45FF-8086-3B9613551645}"/>
    <cellStyle name="20% - Accent1 2 9" xfId="4506" xr:uid="{00000000-0005-0000-0000-000051000000}"/>
    <cellStyle name="20% - Accent1 2 9 2" xfId="12948" xr:uid="{E39EEF27-A206-4AD5-93FA-B6CC3B17467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4CD7008E-8ADA-4AAB-A6AB-C85A5891CFF3}"/>
    <cellStyle name="20% - Accent1 3 2 2 2 3" xfId="11294" xr:uid="{ED91113D-CD71-466D-9EAD-7B5A94C68152}"/>
    <cellStyle name="20% - Accent1 3 2 2 3" xfId="4925" xr:uid="{00000000-0005-0000-0000-000057000000}"/>
    <cellStyle name="20% - Accent1 3 2 2 3 2" xfId="13367" xr:uid="{4B83625A-23C4-43A9-B137-6B06DED2222B}"/>
    <cellStyle name="20% - Accent1 3 2 2 4" xfId="9149" xr:uid="{1253FA7C-92D6-46EE-BF33-7D8DC009DCE8}"/>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C5C25122-2110-4697-B382-ACD5B322FE03}"/>
    <cellStyle name="20% - Accent1 3 2 3 2 3" xfId="11707" xr:uid="{C8177E03-307C-4F95-AA15-E4030C933127}"/>
    <cellStyle name="20% - Accent1 3 2 3 3" xfId="5338" xr:uid="{00000000-0005-0000-0000-00005B000000}"/>
    <cellStyle name="20% - Accent1 3 2 3 3 2" xfId="13780" xr:uid="{AB874F89-DE93-4F8A-81C6-ED9A1F001C86}"/>
    <cellStyle name="20% - Accent1 3 2 3 4" xfId="9562" xr:uid="{615B173B-B98A-4868-AF98-D864EDF500E5}"/>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2CF33038-715F-4EE6-9A71-FBD1169D93CF}"/>
    <cellStyle name="20% - Accent1 3 2 4 2 3" xfId="12120" xr:uid="{3E20762A-F2FF-47A5-B8C7-7FA0D144D805}"/>
    <cellStyle name="20% - Accent1 3 2 4 3" xfId="5751" xr:uid="{00000000-0005-0000-0000-00005F000000}"/>
    <cellStyle name="20% - Accent1 3 2 4 3 2" xfId="14193" xr:uid="{907C50D5-42FE-4384-BA5E-7890F20E4DCC}"/>
    <cellStyle name="20% - Accent1 3 2 4 4" xfId="9975" xr:uid="{33CF3F35-1637-4BBD-8699-D35A38207A58}"/>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AC5BC5CD-ED37-455C-ABCA-2D0A17F39D19}"/>
    <cellStyle name="20% - Accent1 3 2 5 2 3" xfId="12533" xr:uid="{06C65DCB-675F-4F0D-BCE7-66C701692CC3}"/>
    <cellStyle name="20% - Accent1 3 2 5 3" xfId="6164" xr:uid="{00000000-0005-0000-0000-000063000000}"/>
    <cellStyle name="20% - Accent1 3 2 5 3 2" xfId="14606" xr:uid="{6FF043C0-7E86-417A-BB6C-CD20B6F51D92}"/>
    <cellStyle name="20% - Accent1 3 2 5 4" xfId="10388" xr:uid="{AF531079-0025-43D1-8E56-0B3722040F0E}"/>
    <cellStyle name="20% - Accent1 3 2 6" xfId="2270" xr:uid="{00000000-0005-0000-0000-000064000000}"/>
    <cellStyle name="20% - Accent1 3 2 6 2" xfId="6577" xr:uid="{00000000-0005-0000-0000-000065000000}"/>
    <cellStyle name="20% - Accent1 3 2 6 2 2" xfId="15019" xr:uid="{9876249C-D7EF-417D-94FD-0D8BAB8A9244}"/>
    <cellStyle name="20% - Accent1 3 2 6 3" xfId="10801" xr:uid="{8FA8ECD9-6254-4D6F-AD65-0A1453D4DDD0}"/>
    <cellStyle name="20% - Accent1 3 2 7" xfId="4511" xr:uid="{00000000-0005-0000-0000-000066000000}"/>
    <cellStyle name="20% - Accent1 3 2 7 2" xfId="12953" xr:uid="{EE612070-6B5A-450C-92D2-E4A1B276CE11}"/>
    <cellStyle name="20% - Accent1 3 2 8" xfId="8735" xr:uid="{1948C459-0EF4-4118-AF6E-83FBE4A7C41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BA8A0134-E796-4271-B755-2DCB69077B1D}"/>
    <cellStyle name="20% - Accent1 3 3 2 3" xfId="11293" xr:uid="{6830902C-179C-4A8B-A6C4-4FA52BA01547}"/>
    <cellStyle name="20% - Accent1 3 3 3" xfId="4924" xr:uid="{00000000-0005-0000-0000-00006A000000}"/>
    <cellStyle name="20% - Accent1 3 3 3 2" xfId="13366" xr:uid="{64EBB06A-9E28-4D53-A84B-4E526DA4A147}"/>
    <cellStyle name="20% - Accent1 3 3 4" xfId="9148" xr:uid="{CA19D4A6-3C4E-4F1B-B35A-275B37C75E83}"/>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B8B8E9DB-986C-4810-AF88-D83C9FB17DAD}"/>
    <cellStyle name="20% - Accent1 3 4 2 3" xfId="11706" xr:uid="{1C4D7996-B6E0-4421-A7BF-084F0105F40F}"/>
    <cellStyle name="20% - Accent1 3 4 3" xfId="5337" xr:uid="{00000000-0005-0000-0000-00006E000000}"/>
    <cellStyle name="20% - Accent1 3 4 3 2" xfId="13779" xr:uid="{2B9A5B8B-7763-46E5-B9A1-9DA0668C205B}"/>
    <cellStyle name="20% - Accent1 3 4 4" xfId="9561" xr:uid="{A4E10BF9-47FD-4FC1-9037-98A71BF8B02F}"/>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E49CB420-7F25-409A-B741-A78943190ED6}"/>
    <cellStyle name="20% - Accent1 3 5 2 3" xfId="12119" xr:uid="{EE313C5B-404F-4205-B28D-79D7270B8FB2}"/>
    <cellStyle name="20% - Accent1 3 5 3" xfId="5750" xr:uid="{00000000-0005-0000-0000-000072000000}"/>
    <cellStyle name="20% - Accent1 3 5 3 2" xfId="14192" xr:uid="{B9DAD63C-2189-4F12-AC6B-B70D47334BFD}"/>
    <cellStyle name="20% - Accent1 3 5 4" xfId="9974" xr:uid="{640A2F2C-ACD5-4829-9C2E-BC9E3283FF9E}"/>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8F53D2F0-EC2C-4AE7-95DF-1520794BF72F}"/>
    <cellStyle name="20% - Accent1 3 6 2 3" xfId="12532" xr:uid="{F1CADE88-3C54-402A-8CE8-680722B49380}"/>
    <cellStyle name="20% - Accent1 3 6 3" xfId="6163" xr:uid="{00000000-0005-0000-0000-000076000000}"/>
    <cellStyle name="20% - Accent1 3 6 3 2" xfId="14605" xr:uid="{994E73A7-01A9-4D86-BFEE-EBA701E8CA22}"/>
    <cellStyle name="20% - Accent1 3 6 4" xfId="10387" xr:uid="{7EAFE1AA-8180-4593-B187-A0F3E92BD79A}"/>
    <cellStyle name="20% - Accent1 3 7" xfId="2269" xr:uid="{00000000-0005-0000-0000-000077000000}"/>
    <cellStyle name="20% - Accent1 3 7 2" xfId="6576" xr:uid="{00000000-0005-0000-0000-000078000000}"/>
    <cellStyle name="20% - Accent1 3 7 2 2" xfId="15018" xr:uid="{91BEB090-BB77-41BC-ACD5-04E817F26C5D}"/>
    <cellStyle name="20% - Accent1 3 7 3" xfId="10800" xr:uid="{F59BE3CB-DC1C-4515-89BA-AA6108595B79}"/>
    <cellStyle name="20% - Accent1 3 8" xfId="4510" xr:uid="{00000000-0005-0000-0000-000079000000}"/>
    <cellStyle name="20% - Accent1 3 8 2" xfId="12952" xr:uid="{1CF163F6-FE33-479F-B3EE-202A375EC55F}"/>
    <cellStyle name="20% - Accent1 3 9" xfId="8734" xr:uid="{2B9A7E49-68B2-4AA4-914B-D8DBF7186793}"/>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219EAFBE-263A-4EE0-A245-8FADD9AFB419}"/>
    <cellStyle name="20% - Accent1 4 2 2 3" xfId="11295" xr:uid="{A52158D6-E112-4D80-9F5D-5716FF948919}"/>
    <cellStyle name="20% - Accent1 4 2 3" xfId="4926" xr:uid="{00000000-0005-0000-0000-00007E000000}"/>
    <cellStyle name="20% - Accent1 4 2 3 2" xfId="13368" xr:uid="{4A558C38-1C5C-44BC-92D0-F4886C3D4716}"/>
    <cellStyle name="20% - Accent1 4 2 4" xfId="9150" xr:uid="{4BE8DDC4-39C6-4243-9839-54FCB6A5AE50}"/>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70055942-2475-48EC-A31B-DE0526CC2A29}"/>
    <cellStyle name="20% - Accent1 4 3 2 3" xfId="11708" xr:uid="{001697B7-F84B-4EFD-A1CD-22E04B155152}"/>
    <cellStyle name="20% - Accent1 4 3 3" xfId="5339" xr:uid="{00000000-0005-0000-0000-000082000000}"/>
    <cellStyle name="20% - Accent1 4 3 3 2" xfId="13781" xr:uid="{96FBCCAB-86ED-4C88-8C60-00CCF73BDAFA}"/>
    <cellStyle name="20% - Accent1 4 3 4" xfId="9563" xr:uid="{EB749637-5966-41C7-B7CF-34BB13A46F64}"/>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7726E2F1-101E-4CE9-9808-F6563AD3D478}"/>
    <cellStyle name="20% - Accent1 4 4 2 3" xfId="12121" xr:uid="{13657592-E67C-4F43-9E20-82218ABB0BA1}"/>
    <cellStyle name="20% - Accent1 4 4 3" xfId="5752" xr:uid="{00000000-0005-0000-0000-000086000000}"/>
    <cellStyle name="20% - Accent1 4 4 3 2" xfId="14194" xr:uid="{001D4E84-313E-4763-A634-8B938E30EEB1}"/>
    <cellStyle name="20% - Accent1 4 4 4" xfId="9976" xr:uid="{361BFB91-1517-486E-951B-0C153345379E}"/>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68D77C55-889A-4BC7-A27A-E1933D93F9AE}"/>
    <cellStyle name="20% - Accent1 4 5 2 3" xfId="12534" xr:uid="{F78EAC09-8AF7-4E60-9659-88F10DCF2D63}"/>
    <cellStyle name="20% - Accent1 4 5 3" xfId="6165" xr:uid="{00000000-0005-0000-0000-00008A000000}"/>
    <cellStyle name="20% - Accent1 4 5 3 2" xfId="14607" xr:uid="{2C4C62CA-4662-4200-96E5-39EFF0666252}"/>
    <cellStyle name="20% - Accent1 4 5 4" xfId="10389" xr:uid="{9BA10927-CFF1-4B1C-B131-7B590DE652D9}"/>
    <cellStyle name="20% - Accent1 4 6" xfId="2271" xr:uid="{00000000-0005-0000-0000-00008B000000}"/>
    <cellStyle name="20% - Accent1 4 6 2" xfId="6578" xr:uid="{00000000-0005-0000-0000-00008C000000}"/>
    <cellStyle name="20% - Accent1 4 6 2 2" xfId="15020" xr:uid="{9E716DDA-2959-453B-A294-37C90ACAFFEC}"/>
    <cellStyle name="20% - Accent1 4 6 3" xfId="10802" xr:uid="{D9BECDD3-8AA6-4EF3-A232-376CEFB7F450}"/>
    <cellStyle name="20% - Accent1 4 7" xfId="4512" xr:uid="{00000000-0005-0000-0000-00008D000000}"/>
    <cellStyle name="20% - Accent1 4 7 2" xfId="12954" xr:uid="{2FD4A39B-1E02-4C53-8753-48145F3DB56D}"/>
    <cellStyle name="20% - Accent1 4 8" xfId="8736" xr:uid="{0B534771-68A3-440A-B041-5412158E3C8C}"/>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FF60EEE7-78AB-42D4-8ED2-36846CB08358}"/>
    <cellStyle name="20% - Accent1 5 2 3" xfId="11288" xr:uid="{D3416E4C-7B69-45BC-B057-72FA58E40FBE}"/>
    <cellStyle name="20% - Accent1 5 3" xfId="4919" xr:uid="{00000000-0005-0000-0000-000091000000}"/>
    <cellStyle name="20% - Accent1 5 3 2" xfId="13361" xr:uid="{880BB7D9-CE04-4894-B547-B31C578E5321}"/>
    <cellStyle name="20% - Accent1 5 4" xfId="9143" xr:uid="{7F14DF90-2129-4466-99CD-C4B3FC57A0BB}"/>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66D41C58-46AF-4B59-8C79-58181BA1608D}"/>
    <cellStyle name="20% - Accent1 6 2 3" xfId="11701" xr:uid="{47788FF7-B6B1-4861-ACCD-68D5A9C5CE46}"/>
    <cellStyle name="20% - Accent1 6 3" xfId="5332" xr:uid="{00000000-0005-0000-0000-000095000000}"/>
    <cellStyle name="20% - Accent1 6 3 2" xfId="13774" xr:uid="{C06BCB36-A2F8-45FB-B552-66E8696A4638}"/>
    <cellStyle name="20% - Accent1 6 4" xfId="9556" xr:uid="{54C1DA6A-AC44-4D37-9EA2-BB3A0201CE5E}"/>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98270742-71A8-4B45-A27C-5C11B937A33D}"/>
    <cellStyle name="20% - Accent1 7 2 3" xfId="12114" xr:uid="{90884454-53CA-41A4-B1AF-3000DEBDACCE}"/>
    <cellStyle name="20% - Accent1 7 3" xfId="5745" xr:uid="{00000000-0005-0000-0000-000099000000}"/>
    <cellStyle name="20% - Accent1 7 3 2" xfId="14187" xr:uid="{9422D260-0242-4AAC-9D63-0E519A97CBA6}"/>
    <cellStyle name="20% - Accent1 7 4" xfId="9969" xr:uid="{5B265040-4F42-42E9-976C-68CB18412256}"/>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E146AAC1-A35B-455E-813C-C1C22FF41C3F}"/>
    <cellStyle name="20% - Accent1 8 2 3" xfId="12527" xr:uid="{5E8F534F-6F80-49B0-8097-380A405E0F1B}"/>
    <cellStyle name="20% - Accent1 8 3" xfId="6158" xr:uid="{00000000-0005-0000-0000-00009D000000}"/>
    <cellStyle name="20% - Accent1 8 3 2" xfId="14600" xr:uid="{1EF8C3EF-B6BB-4401-8E24-CD860FC70281}"/>
    <cellStyle name="20% - Accent1 8 4" xfId="10382" xr:uid="{60F517F6-4A51-42E4-BEE1-A3D164FBD7B9}"/>
    <cellStyle name="20% - Accent1 9" xfId="2264" xr:uid="{00000000-0005-0000-0000-00009E000000}"/>
    <cellStyle name="20% - Accent1 9 2" xfId="6571" xr:uid="{00000000-0005-0000-0000-00009F000000}"/>
    <cellStyle name="20% - Accent1 9 2 2" xfId="15013" xr:uid="{BC947422-B76E-4BEC-930C-73D528A48524}"/>
    <cellStyle name="20% - Accent1 9 3" xfId="10795" xr:uid="{15C72129-0AD4-427F-B340-3CC253C178DD}"/>
    <cellStyle name="20% - Accent2" xfId="9" builtinId="34" customBuiltin="1"/>
    <cellStyle name="20% - Accent2 10" xfId="4513" xr:uid="{00000000-0005-0000-0000-0000A1000000}"/>
    <cellStyle name="20% - Accent2 10 2" xfId="12955" xr:uid="{A2A87A2F-22C3-43CE-9DC1-FCD8C5DACC1F}"/>
    <cellStyle name="20% - Accent2 11" xfId="8737" xr:uid="{4EE01731-4DA4-43BD-84AD-36A64853C2CE}"/>
    <cellStyle name="20% - Accent2 2" xfId="10" xr:uid="{00000000-0005-0000-0000-0000A2000000}"/>
    <cellStyle name="20% - Accent2 2 10" xfId="8738" xr:uid="{D5242F8C-6258-4658-A074-10F168159467}"/>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D112B412-CABD-4E53-A3DB-4B7D5D222E5B}"/>
    <cellStyle name="20% - Accent2 2 2 2 2 2 3" xfId="11299" xr:uid="{9A54260D-87A7-4FD5-A64B-B09A138A59B7}"/>
    <cellStyle name="20% - Accent2 2 2 2 2 3" xfId="4930" xr:uid="{00000000-0005-0000-0000-0000A8000000}"/>
    <cellStyle name="20% - Accent2 2 2 2 2 3 2" xfId="13372" xr:uid="{51B7AAE2-8C29-451B-B97C-C56AB95E26FF}"/>
    <cellStyle name="20% - Accent2 2 2 2 2 4" xfId="9154" xr:uid="{4CFC0977-D63E-4404-9495-E5774639B6AA}"/>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97C6ECFF-0B89-4664-9976-2F193DF0A46E}"/>
    <cellStyle name="20% - Accent2 2 2 2 3 2 3" xfId="11712" xr:uid="{69487938-8DA2-4925-ABE9-8A32F2C5B6E5}"/>
    <cellStyle name="20% - Accent2 2 2 2 3 3" xfId="5343" xr:uid="{00000000-0005-0000-0000-0000AC000000}"/>
    <cellStyle name="20% - Accent2 2 2 2 3 3 2" xfId="13785" xr:uid="{EFFFBDD6-6016-44F1-8559-C37392E4E97F}"/>
    <cellStyle name="20% - Accent2 2 2 2 3 4" xfId="9567" xr:uid="{C0DA07F0-1917-4660-83B4-98DB90B04169}"/>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868CD7BD-410D-473B-9570-1228D447FA21}"/>
    <cellStyle name="20% - Accent2 2 2 2 4 2 3" xfId="12125" xr:uid="{AACD4B62-8154-49F2-B7B1-3B510EBDA2DA}"/>
    <cellStyle name="20% - Accent2 2 2 2 4 3" xfId="5756" xr:uid="{00000000-0005-0000-0000-0000B0000000}"/>
    <cellStyle name="20% - Accent2 2 2 2 4 3 2" xfId="14198" xr:uid="{8E48BB07-5766-4D96-879D-79FD46A5B4C0}"/>
    <cellStyle name="20% - Accent2 2 2 2 4 4" xfId="9980" xr:uid="{867BC037-ECAD-4672-93E8-810AA2FED6F7}"/>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D223B4D6-8FCD-4709-8D7D-F1B86A813636}"/>
    <cellStyle name="20% - Accent2 2 2 2 5 2 3" xfId="12538" xr:uid="{7C4069C9-8BD2-42A1-B9C2-16FE1054477E}"/>
    <cellStyle name="20% - Accent2 2 2 2 5 3" xfId="6169" xr:uid="{00000000-0005-0000-0000-0000B4000000}"/>
    <cellStyle name="20% - Accent2 2 2 2 5 3 2" xfId="14611" xr:uid="{F4CED6BB-7000-4BD6-91A5-AC5DAC4169A9}"/>
    <cellStyle name="20% - Accent2 2 2 2 5 4" xfId="10393" xr:uid="{207EC571-3CB5-4A38-A034-ED6B64D54CBD}"/>
    <cellStyle name="20% - Accent2 2 2 2 6" xfId="2275" xr:uid="{00000000-0005-0000-0000-0000B5000000}"/>
    <cellStyle name="20% - Accent2 2 2 2 6 2" xfId="6582" xr:uid="{00000000-0005-0000-0000-0000B6000000}"/>
    <cellStyle name="20% - Accent2 2 2 2 6 2 2" xfId="15024" xr:uid="{635896BB-081E-4C32-B1DB-0DD956BA54B7}"/>
    <cellStyle name="20% - Accent2 2 2 2 6 3" xfId="10806" xr:uid="{C4836FF4-58A6-437B-8AC4-A79A71EEB21F}"/>
    <cellStyle name="20% - Accent2 2 2 2 7" xfId="4516" xr:uid="{00000000-0005-0000-0000-0000B7000000}"/>
    <cellStyle name="20% - Accent2 2 2 2 7 2" xfId="12958" xr:uid="{785867CE-8931-4F88-B817-327239506ECE}"/>
    <cellStyle name="20% - Accent2 2 2 2 8" xfId="8740" xr:uid="{14EA4FBF-5ED9-489D-B9B5-8A654D65A588}"/>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182C681F-9BCB-4D82-8575-399E524F048D}"/>
    <cellStyle name="20% - Accent2 2 2 3 2 3" xfId="11298" xr:uid="{4E93CF97-078A-49C6-BB60-C29E16459A98}"/>
    <cellStyle name="20% - Accent2 2 2 3 3" xfId="4929" xr:uid="{00000000-0005-0000-0000-0000BB000000}"/>
    <cellStyle name="20% - Accent2 2 2 3 3 2" xfId="13371" xr:uid="{28ECEE69-153F-4ED6-8D77-EDFDEF682E82}"/>
    <cellStyle name="20% - Accent2 2 2 3 4" xfId="9153" xr:uid="{4981A474-5490-45C1-BA1C-94C847638F72}"/>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0BBE7084-CF2B-42F0-9988-B3249ACDA38B}"/>
    <cellStyle name="20% - Accent2 2 2 4 2 3" xfId="11711" xr:uid="{AE30DD3C-9BB3-4B06-A6C0-CCE4C9166D91}"/>
    <cellStyle name="20% - Accent2 2 2 4 3" xfId="5342" xr:uid="{00000000-0005-0000-0000-0000BF000000}"/>
    <cellStyle name="20% - Accent2 2 2 4 3 2" xfId="13784" xr:uid="{C0AAA41A-B703-49B1-87DB-D363891996A9}"/>
    <cellStyle name="20% - Accent2 2 2 4 4" xfId="9566" xr:uid="{BD94AE75-EB2B-4DB5-8028-146FB5371503}"/>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33EB2C29-ECDC-4288-A7C1-867B45E7640C}"/>
    <cellStyle name="20% - Accent2 2 2 5 2 3" xfId="12124" xr:uid="{A97FEF70-92CC-4326-9268-425F50DF6187}"/>
    <cellStyle name="20% - Accent2 2 2 5 3" xfId="5755" xr:uid="{00000000-0005-0000-0000-0000C3000000}"/>
    <cellStyle name="20% - Accent2 2 2 5 3 2" xfId="14197" xr:uid="{A7EED7D6-BED3-45DB-A46B-50A2847D49D8}"/>
    <cellStyle name="20% - Accent2 2 2 5 4" xfId="9979" xr:uid="{2A55F8EC-2AB9-4C4D-A7DC-71C5E679813A}"/>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4668E7F2-567A-428D-AEFC-4D7F45A048FF}"/>
    <cellStyle name="20% - Accent2 2 2 6 2 3" xfId="12537" xr:uid="{2885A902-452A-4E99-A6B0-A0AEAEC9729E}"/>
    <cellStyle name="20% - Accent2 2 2 6 3" xfId="6168" xr:uid="{00000000-0005-0000-0000-0000C7000000}"/>
    <cellStyle name="20% - Accent2 2 2 6 3 2" xfId="14610" xr:uid="{9880565B-7540-4648-8DBE-271281D00749}"/>
    <cellStyle name="20% - Accent2 2 2 6 4" xfId="10392" xr:uid="{CDDCE7FC-7515-4DEE-98C1-B1E56B1E529E}"/>
    <cellStyle name="20% - Accent2 2 2 7" xfId="2274" xr:uid="{00000000-0005-0000-0000-0000C8000000}"/>
    <cellStyle name="20% - Accent2 2 2 7 2" xfId="6581" xr:uid="{00000000-0005-0000-0000-0000C9000000}"/>
    <cellStyle name="20% - Accent2 2 2 7 2 2" xfId="15023" xr:uid="{65CDC949-6521-46BD-9285-4C6AC690AAB4}"/>
    <cellStyle name="20% - Accent2 2 2 7 3" xfId="10805" xr:uid="{A88D7DE2-5E12-49B6-B888-000C51207F92}"/>
    <cellStyle name="20% - Accent2 2 2 8" xfId="4515" xr:uid="{00000000-0005-0000-0000-0000CA000000}"/>
    <cellStyle name="20% - Accent2 2 2 8 2" xfId="12957" xr:uid="{33D0F18A-4632-4603-9CCE-D521338CE613}"/>
    <cellStyle name="20% - Accent2 2 2 9" xfId="8739" xr:uid="{B02B4741-FBC0-47A0-83B5-49CDAE0C80FB}"/>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CBB54592-13CF-4864-B88A-271D61745144}"/>
    <cellStyle name="20% - Accent2 2 3 2 2 3" xfId="11300" xr:uid="{EEF790DA-5D88-441B-B8F5-7073FE3655D8}"/>
    <cellStyle name="20% - Accent2 2 3 2 3" xfId="4931" xr:uid="{00000000-0005-0000-0000-0000CF000000}"/>
    <cellStyle name="20% - Accent2 2 3 2 3 2" xfId="13373" xr:uid="{F6A4699D-2CC0-47D7-A324-B1C9C725BE70}"/>
    <cellStyle name="20% - Accent2 2 3 2 4" xfId="9155" xr:uid="{8C7F41DC-018B-4BDF-9876-434C1AE34AC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BFE41DAC-7B43-452A-BC35-F128CB01627E}"/>
    <cellStyle name="20% - Accent2 2 3 3 2 3" xfId="11713" xr:uid="{E066AC5D-FE1F-40A9-A86E-F800568B6117}"/>
    <cellStyle name="20% - Accent2 2 3 3 3" xfId="5344" xr:uid="{00000000-0005-0000-0000-0000D3000000}"/>
    <cellStyle name="20% - Accent2 2 3 3 3 2" xfId="13786" xr:uid="{4E7232D1-D3F4-467E-9B9D-35E831FE85E6}"/>
    <cellStyle name="20% - Accent2 2 3 3 4" xfId="9568" xr:uid="{3772C273-8BA8-4D46-A7B4-7078AA3C3ED7}"/>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B5AF627D-683E-45CE-AC6E-927610A8E696}"/>
    <cellStyle name="20% - Accent2 2 3 4 2 3" xfId="12126" xr:uid="{A64F2AF0-0D25-4C16-8EF6-531A76F3DCAA}"/>
    <cellStyle name="20% - Accent2 2 3 4 3" xfId="5757" xr:uid="{00000000-0005-0000-0000-0000D7000000}"/>
    <cellStyle name="20% - Accent2 2 3 4 3 2" xfId="14199" xr:uid="{949D09AA-1EF4-4434-82BE-550E00F0662B}"/>
    <cellStyle name="20% - Accent2 2 3 4 4" xfId="9981" xr:uid="{4330A773-B6FF-467C-94D3-94D6A07002F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9D06237F-2001-45D4-9241-24A1B5489FFA}"/>
    <cellStyle name="20% - Accent2 2 3 5 2 3" xfId="12539" xr:uid="{1C531911-EB89-485C-9139-172BAAA77382}"/>
    <cellStyle name="20% - Accent2 2 3 5 3" xfId="6170" xr:uid="{00000000-0005-0000-0000-0000DB000000}"/>
    <cellStyle name="20% - Accent2 2 3 5 3 2" xfId="14612" xr:uid="{D8A3F1DA-A286-42C6-A75E-A5FED0949452}"/>
    <cellStyle name="20% - Accent2 2 3 5 4" xfId="10394" xr:uid="{FA163D4E-0C51-4DD4-BE45-2B8060B3DA6E}"/>
    <cellStyle name="20% - Accent2 2 3 6" xfId="2276" xr:uid="{00000000-0005-0000-0000-0000DC000000}"/>
    <cellStyle name="20% - Accent2 2 3 6 2" xfId="6583" xr:uid="{00000000-0005-0000-0000-0000DD000000}"/>
    <cellStyle name="20% - Accent2 2 3 6 2 2" xfId="15025" xr:uid="{9FC07DA0-0613-450B-8563-63059C6557B7}"/>
    <cellStyle name="20% - Accent2 2 3 6 3" xfId="10807" xr:uid="{4FF13B1B-DB4B-4DD9-B6BA-F50839CA5C9D}"/>
    <cellStyle name="20% - Accent2 2 3 7" xfId="4517" xr:uid="{00000000-0005-0000-0000-0000DE000000}"/>
    <cellStyle name="20% - Accent2 2 3 7 2" xfId="12959" xr:uid="{C3A2952F-B23F-480A-B51D-E01D3CCFBBA5}"/>
    <cellStyle name="20% - Accent2 2 3 8" xfId="8741" xr:uid="{32C15297-7840-48B0-A4C9-A2F46747C6C7}"/>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512B511D-4612-4C11-A2ED-D32A266F8F02}"/>
    <cellStyle name="20% - Accent2 2 4 2 3" xfId="11297" xr:uid="{51AD1626-9185-4095-B299-8678883A297F}"/>
    <cellStyle name="20% - Accent2 2 4 3" xfId="4928" xr:uid="{00000000-0005-0000-0000-0000E2000000}"/>
    <cellStyle name="20% - Accent2 2 4 3 2" xfId="13370" xr:uid="{584F0626-D371-4333-878A-DBB798113C82}"/>
    <cellStyle name="20% - Accent2 2 4 4" xfId="9152" xr:uid="{9B37C669-F615-4079-ADA1-C1DE25269918}"/>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071DD808-93FA-476B-BB75-79DB66B8CC6E}"/>
    <cellStyle name="20% - Accent2 2 5 2 3" xfId="11710" xr:uid="{93F6A7CD-3CE6-4642-87D6-D3186B215AB8}"/>
    <cellStyle name="20% - Accent2 2 5 3" xfId="5341" xr:uid="{00000000-0005-0000-0000-0000E6000000}"/>
    <cellStyle name="20% - Accent2 2 5 3 2" xfId="13783" xr:uid="{56DBE05B-EAA5-4FC5-BCFE-ABDDAAC1761E}"/>
    <cellStyle name="20% - Accent2 2 5 4" xfId="9565" xr:uid="{03138A2C-8FA3-4551-88FE-01EF621FBBA9}"/>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DDF31A9A-76BC-47D9-A9DF-2068DF1CEFF4}"/>
    <cellStyle name="20% - Accent2 2 6 2 3" xfId="12123" xr:uid="{05BC2695-A574-432A-B020-45C1F817BCFC}"/>
    <cellStyle name="20% - Accent2 2 6 3" xfId="5754" xr:uid="{00000000-0005-0000-0000-0000EA000000}"/>
    <cellStyle name="20% - Accent2 2 6 3 2" xfId="14196" xr:uid="{C9A57DCD-EFAD-44F1-8280-37A26D7D6C9E}"/>
    <cellStyle name="20% - Accent2 2 6 4" xfId="9978" xr:uid="{660D2E61-5738-4BD2-9901-7CCF38357782}"/>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D8DE29BF-2FE9-4FBC-B275-18C7C7889B35}"/>
    <cellStyle name="20% - Accent2 2 7 2 3" xfId="12536" xr:uid="{6561ACF2-2405-4A15-8F62-54BBE6114E13}"/>
    <cellStyle name="20% - Accent2 2 7 3" xfId="6167" xr:uid="{00000000-0005-0000-0000-0000EE000000}"/>
    <cellStyle name="20% - Accent2 2 7 3 2" xfId="14609" xr:uid="{FDBA8626-212C-4AF4-BC9B-137BD1049318}"/>
    <cellStyle name="20% - Accent2 2 7 4" xfId="10391" xr:uid="{D0607CEE-9830-4CB0-A70C-46629F59D728}"/>
    <cellStyle name="20% - Accent2 2 8" xfId="2273" xr:uid="{00000000-0005-0000-0000-0000EF000000}"/>
    <cellStyle name="20% - Accent2 2 8 2" xfId="6580" xr:uid="{00000000-0005-0000-0000-0000F0000000}"/>
    <cellStyle name="20% - Accent2 2 8 2 2" xfId="15022" xr:uid="{00F18A78-B349-4862-9C37-5CC8B04E2AC9}"/>
    <cellStyle name="20% - Accent2 2 8 3" xfId="10804" xr:uid="{4A0F37BB-7F38-4010-B201-A6971028E91B}"/>
    <cellStyle name="20% - Accent2 2 9" xfId="4514" xr:uid="{00000000-0005-0000-0000-0000F1000000}"/>
    <cellStyle name="20% - Accent2 2 9 2" xfId="12956" xr:uid="{E25ED1E1-487A-473C-9998-AC241C0CA198}"/>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EC5BD321-03A0-42A5-B97E-D9E55D143B30}"/>
    <cellStyle name="20% - Accent2 3 2 2 2 3" xfId="11302" xr:uid="{77F10F90-B437-4DC6-8E88-9FE8E766A018}"/>
    <cellStyle name="20% - Accent2 3 2 2 3" xfId="4933" xr:uid="{00000000-0005-0000-0000-0000F7000000}"/>
    <cellStyle name="20% - Accent2 3 2 2 3 2" xfId="13375" xr:uid="{DBD90CE0-155B-4CB9-AE3D-EB6E057C4B05}"/>
    <cellStyle name="20% - Accent2 3 2 2 4" xfId="9157" xr:uid="{84F013B2-1DEA-4075-9F1B-AD7484CDE372}"/>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C142C97C-1414-44FF-B82F-6CC7E4306B80}"/>
    <cellStyle name="20% - Accent2 3 2 3 2 3" xfId="11715" xr:uid="{6721F0AB-8ADD-4615-9578-9D9D954CEA06}"/>
    <cellStyle name="20% - Accent2 3 2 3 3" xfId="5346" xr:uid="{00000000-0005-0000-0000-0000FB000000}"/>
    <cellStyle name="20% - Accent2 3 2 3 3 2" xfId="13788" xr:uid="{B6E117F3-68F6-4997-8208-01C8B3076B08}"/>
    <cellStyle name="20% - Accent2 3 2 3 4" xfId="9570" xr:uid="{80B970FB-4B31-4D85-8FEC-46B763B8B308}"/>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BABB9D89-EDE3-49DE-9C8C-EFE2CF936331}"/>
    <cellStyle name="20% - Accent2 3 2 4 2 3" xfId="12128" xr:uid="{F7499A58-2275-4020-9C13-071901EBFF3E}"/>
    <cellStyle name="20% - Accent2 3 2 4 3" xfId="5759" xr:uid="{00000000-0005-0000-0000-0000FF000000}"/>
    <cellStyle name="20% - Accent2 3 2 4 3 2" xfId="14201" xr:uid="{7B44F74F-806A-4FF0-82FA-1DF6DDB02718}"/>
    <cellStyle name="20% - Accent2 3 2 4 4" xfId="9983" xr:uid="{A54165AB-581B-46D6-8350-30663278A5FC}"/>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3ADD04C-2B43-4129-9081-6F7CE9791D71}"/>
    <cellStyle name="20% - Accent2 3 2 5 2 3" xfId="12541" xr:uid="{98997894-7586-4482-975F-2BFDCD411BF1}"/>
    <cellStyle name="20% - Accent2 3 2 5 3" xfId="6172" xr:uid="{00000000-0005-0000-0000-000003010000}"/>
    <cellStyle name="20% - Accent2 3 2 5 3 2" xfId="14614" xr:uid="{17762AB5-84A5-4F50-8669-F4D35E6BD232}"/>
    <cellStyle name="20% - Accent2 3 2 5 4" xfId="10396" xr:uid="{8000CCEF-7FA6-437D-B0D6-9681422CABEB}"/>
    <cellStyle name="20% - Accent2 3 2 6" xfId="2278" xr:uid="{00000000-0005-0000-0000-000004010000}"/>
    <cellStyle name="20% - Accent2 3 2 6 2" xfId="6585" xr:uid="{00000000-0005-0000-0000-000005010000}"/>
    <cellStyle name="20% - Accent2 3 2 6 2 2" xfId="15027" xr:uid="{A4937A3E-1B1D-4A05-A5CA-321F53DCDC26}"/>
    <cellStyle name="20% - Accent2 3 2 6 3" xfId="10809" xr:uid="{579D17C5-1089-4340-88DE-14E4952F7DBC}"/>
    <cellStyle name="20% - Accent2 3 2 7" xfId="4519" xr:uid="{00000000-0005-0000-0000-000006010000}"/>
    <cellStyle name="20% - Accent2 3 2 7 2" xfId="12961" xr:uid="{5EF2FCF0-C3C4-45C5-B37D-D17A94C6302C}"/>
    <cellStyle name="20% - Accent2 3 2 8" xfId="8743" xr:uid="{5544A317-5CA9-4CDD-8E7D-979DC1088AB5}"/>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D2934269-F76D-4BD6-B8CC-F9C0E3E475E8}"/>
    <cellStyle name="20% - Accent2 3 3 2 3" xfId="11301" xr:uid="{26A94B27-D7A6-4EF9-996F-BFBE6BC5A2B7}"/>
    <cellStyle name="20% - Accent2 3 3 3" xfId="4932" xr:uid="{00000000-0005-0000-0000-00000A010000}"/>
    <cellStyle name="20% - Accent2 3 3 3 2" xfId="13374" xr:uid="{62321F14-4B45-4FA4-A65A-231A8E5F4D11}"/>
    <cellStyle name="20% - Accent2 3 3 4" xfId="9156" xr:uid="{4373EF0E-0EA1-4D6B-8DEF-501D06C99C45}"/>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0ECB688F-F3A9-4D6C-9C08-19EAD030D1BE}"/>
    <cellStyle name="20% - Accent2 3 4 2 3" xfId="11714" xr:uid="{FA39E28C-5662-4069-BE2A-F7C98FBBD1F3}"/>
    <cellStyle name="20% - Accent2 3 4 3" xfId="5345" xr:uid="{00000000-0005-0000-0000-00000E010000}"/>
    <cellStyle name="20% - Accent2 3 4 3 2" xfId="13787" xr:uid="{55FAEEDF-0C2E-468D-A931-B23A60C8C634}"/>
    <cellStyle name="20% - Accent2 3 4 4" xfId="9569" xr:uid="{BA5CEB10-8F60-4092-ADE6-1B1E5C58DEAB}"/>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EFB5F010-636A-45B6-B828-40DD90BBB0A9}"/>
    <cellStyle name="20% - Accent2 3 5 2 3" xfId="12127" xr:uid="{CCE05110-3854-4B8E-A381-6631D654FDED}"/>
    <cellStyle name="20% - Accent2 3 5 3" xfId="5758" xr:uid="{00000000-0005-0000-0000-000012010000}"/>
    <cellStyle name="20% - Accent2 3 5 3 2" xfId="14200" xr:uid="{D3B5DF5C-90C0-4C92-BC92-CE49B0CE384B}"/>
    <cellStyle name="20% - Accent2 3 5 4" xfId="9982" xr:uid="{3BC77A92-EC76-4011-A1A5-1ECFFA965AA8}"/>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4C2CD747-0927-4DF1-8EFE-5B6F66886202}"/>
    <cellStyle name="20% - Accent2 3 6 2 3" xfId="12540" xr:uid="{A0E20557-F1EA-435F-88B8-FC5F9EACE151}"/>
    <cellStyle name="20% - Accent2 3 6 3" xfId="6171" xr:uid="{00000000-0005-0000-0000-000016010000}"/>
    <cellStyle name="20% - Accent2 3 6 3 2" xfId="14613" xr:uid="{5C75292D-DB77-48D8-AEDD-CB5D304B791E}"/>
    <cellStyle name="20% - Accent2 3 6 4" xfId="10395" xr:uid="{41B32860-F6C7-480D-B20C-E64D27B0B406}"/>
    <cellStyle name="20% - Accent2 3 7" xfId="2277" xr:uid="{00000000-0005-0000-0000-000017010000}"/>
    <cellStyle name="20% - Accent2 3 7 2" xfId="6584" xr:uid="{00000000-0005-0000-0000-000018010000}"/>
    <cellStyle name="20% - Accent2 3 7 2 2" xfId="15026" xr:uid="{7808A1BC-B665-4A80-9CFA-6AA123FF9CD4}"/>
    <cellStyle name="20% - Accent2 3 7 3" xfId="10808" xr:uid="{2AD4BF91-ADFB-430B-845C-C836C35C5D39}"/>
    <cellStyle name="20% - Accent2 3 8" xfId="4518" xr:uid="{00000000-0005-0000-0000-000019010000}"/>
    <cellStyle name="20% - Accent2 3 8 2" xfId="12960" xr:uid="{306FC33D-D324-472A-8B93-6BE44A01CA3A}"/>
    <cellStyle name="20% - Accent2 3 9" xfId="8742" xr:uid="{6E4A6576-6919-45E3-A129-53DCFE7B68D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60E27C89-D59E-4E02-918C-9EC614A2D9DE}"/>
    <cellStyle name="20% - Accent2 4 2 2 3" xfId="11303" xr:uid="{FEBF6AA0-41EA-4823-863F-B81E0A465678}"/>
    <cellStyle name="20% - Accent2 4 2 3" xfId="4934" xr:uid="{00000000-0005-0000-0000-00001E010000}"/>
    <cellStyle name="20% - Accent2 4 2 3 2" xfId="13376" xr:uid="{18B4F925-DD53-445C-943E-6704DB1A7616}"/>
    <cellStyle name="20% - Accent2 4 2 4" xfId="9158" xr:uid="{1B4426C7-A021-419D-A4A4-3339AA8CB2BC}"/>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9A8283A8-36ED-4039-A743-D26CCC656002}"/>
    <cellStyle name="20% - Accent2 4 3 2 3" xfId="11716" xr:uid="{B15D684F-EFCD-4924-989A-3CC3DC42BEA4}"/>
    <cellStyle name="20% - Accent2 4 3 3" xfId="5347" xr:uid="{00000000-0005-0000-0000-000022010000}"/>
    <cellStyle name="20% - Accent2 4 3 3 2" xfId="13789" xr:uid="{BF318A76-54C9-4BB0-A0B9-C5FD0D151B41}"/>
    <cellStyle name="20% - Accent2 4 3 4" xfId="9571" xr:uid="{CD2CC6C6-385C-4744-8A27-FAA4D8ED65C6}"/>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075F29BD-76E8-41F1-95B8-CE75C873BBC1}"/>
    <cellStyle name="20% - Accent2 4 4 2 3" xfId="12129" xr:uid="{86E7FDA6-619E-4DE7-9AC2-E0CE3B43318C}"/>
    <cellStyle name="20% - Accent2 4 4 3" xfId="5760" xr:uid="{00000000-0005-0000-0000-000026010000}"/>
    <cellStyle name="20% - Accent2 4 4 3 2" xfId="14202" xr:uid="{C924C0AA-1168-423A-B730-BCAD14925CDE}"/>
    <cellStyle name="20% - Accent2 4 4 4" xfId="9984" xr:uid="{24CA1A12-C10D-43AF-86C7-B5FF0400F8D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2E4ECF43-1EB5-4A56-BA3D-AB4A30BF8465}"/>
    <cellStyle name="20% - Accent2 4 5 2 3" xfId="12542" xr:uid="{7D9A2687-92BB-4349-B1A9-1080779B750E}"/>
    <cellStyle name="20% - Accent2 4 5 3" xfId="6173" xr:uid="{00000000-0005-0000-0000-00002A010000}"/>
    <cellStyle name="20% - Accent2 4 5 3 2" xfId="14615" xr:uid="{1762CD05-2D54-4957-9DD7-39CD516FF8EC}"/>
    <cellStyle name="20% - Accent2 4 5 4" xfId="10397" xr:uid="{F99C6030-FD04-4DB4-A4E8-A2C8F7994DE7}"/>
    <cellStyle name="20% - Accent2 4 6" xfId="2279" xr:uid="{00000000-0005-0000-0000-00002B010000}"/>
    <cellStyle name="20% - Accent2 4 6 2" xfId="6586" xr:uid="{00000000-0005-0000-0000-00002C010000}"/>
    <cellStyle name="20% - Accent2 4 6 2 2" xfId="15028" xr:uid="{35A3A2A7-7948-47F8-8D05-16C6293BB86C}"/>
    <cellStyle name="20% - Accent2 4 6 3" xfId="10810" xr:uid="{F5976241-F6D6-47EA-B35B-923F2F67764F}"/>
    <cellStyle name="20% - Accent2 4 7" xfId="4520" xr:uid="{00000000-0005-0000-0000-00002D010000}"/>
    <cellStyle name="20% - Accent2 4 7 2" xfId="12962" xr:uid="{949B8456-2F92-48ED-84D7-28BBE7B033B9}"/>
    <cellStyle name="20% - Accent2 4 8" xfId="8744" xr:uid="{A9CF3B34-50E0-4FBF-979E-FC5244FD932C}"/>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A87F13A2-98D2-4E37-B41E-FE5C94446508}"/>
    <cellStyle name="20% - Accent2 5 2 3" xfId="11296" xr:uid="{08469B97-6F21-43CD-9E0B-A28B9E5CBAE6}"/>
    <cellStyle name="20% - Accent2 5 3" xfId="4927" xr:uid="{00000000-0005-0000-0000-000031010000}"/>
    <cellStyle name="20% - Accent2 5 3 2" xfId="13369" xr:uid="{2641044B-9762-4379-88F8-D5346BA27546}"/>
    <cellStyle name="20% - Accent2 5 4" xfId="9151" xr:uid="{18D5ABDF-E7D7-44E6-808D-DC03E085F4F4}"/>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ACF07E57-2FE8-4ED7-A22A-78021CA0245F}"/>
    <cellStyle name="20% - Accent2 6 2 3" xfId="11709" xr:uid="{F3E6CC5F-6F23-4AD0-BE3D-CA0D0DC83AD8}"/>
    <cellStyle name="20% - Accent2 6 3" xfId="5340" xr:uid="{00000000-0005-0000-0000-000035010000}"/>
    <cellStyle name="20% - Accent2 6 3 2" xfId="13782" xr:uid="{6F33DA47-D385-4CC3-87B4-8B00B74C9476}"/>
    <cellStyle name="20% - Accent2 6 4" xfId="9564" xr:uid="{EACCF45A-2D74-489E-9F3F-43D97D8AB92F}"/>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9BE75E63-70E2-4668-B225-6E2357F1E24B}"/>
    <cellStyle name="20% - Accent2 7 2 3" xfId="12122" xr:uid="{6385C69D-0FF8-4B60-9330-261E6F2E7DBA}"/>
    <cellStyle name="20% - Accent2 7 3" xfId="5753" xr:uid="{00000000-0005-0000-0000-000039010000}"/>
    <cellStyle name="20% - Accent2 7 3 2" xfId="14195" xr:uid="{D399B300-1121-43E4-96C0-FC33A13E83A7}"/>
    <cellStyle name="20% - Accent2 7 4" xfId="9977" xr:uid="{3418B172-2A68-452B-B3A1-5B6AD5AC33FB}"/>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B8987824-F9A3-4DA5-9588-1DF3C751997E}"/>
    <cellStyle name="20% - Accent2 8 2 3" xfId="12535" xr:uid="{503603FF-EED9-48B0-90C1-8F361FBEAE44}"/>
    <cellStyle name="20% - Accent2 8 3" xfId="6166" xr:uid="{00000000-0005-0000-0000-00003D010000}"/>
    <cellStyle name="20% - Accent2 8 3 2" xfId="14608" xr:uid="{C115A758-49F4-4086-93A0-9597077B6BED}"/>
    <cellStyle name="20% - Accent2 8 4" xfId="10390" xr:uid="{3F59FB9C-47BC-4D92-A3F2-E29B420D8344}"/>
    <cellStyle name="20% - Accent2 9" xfId="2272" xr:uid="{00000000-0005-0000-0000-00003E010000}"/>
    <cellStyle name="20% - Accent2 9 2" xfId="6579" xr:uid="{00000000-0005-0000-0000-00003F010000}"/>
    <cellStyle name="20% - Accent2 9 2 2" xfId="15021" xr:uid="{E96E7B8B-48D9-4729-ABA9-A1799885860C}"/>
    <cellStyle name="20% - Accent2 9 3" xfId="10803" xr:uid="{8197C58A-E967-4CB0-9FD7-5FAD23515A1B}"/>
    <cellStyle name="20% - Accent3" xfId="17" builtinId="38" customBuiltin="1"/>
    <cellStyle name="20% - Accent3 10" xfId="4521" xr:uid="{00000000-0005-0000-0000-000041010000}"/>
    <cellStyle name="20% - Accent3 10 2" xfId="12963" xr:uid="{D76388B6-B278-4FA8-A7FA-B4A9010710BB}"/>
    <cellStyle name="20% - Accent3 11" xfId="8745" xr:uid="{DAA32F7E-4936-4B65-B4A1-12836DEA4E7A}"/>
    <cellStyle name="20% - Accent3 2" xfId="18" xr:uid="{00000000-0005-0000-0000-000042010000}"/>
    <cellStyle name="20% - Accent3 2 10" xfId="8746" xr:uid="{6EF323D7-1EA4-406A-816C-75D0737086E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E67DEB67-F695-409B-8996-DB4F6DDB1F00}"/>
    <cellStyle name="20% - Accent3 2 2 2 2 2 3" xfId="11307" xr:uid="{AE13E077-4D4B-4BF1-8058-1A8D056D3B12}"/>
    <cellStyle name="20% - Accent3 2 2 2 2 3" xfId="4938" xr:uid="{00000000-0005-0000-0000-000048010000}"/>
    <cellStyle name="20% - Accent3 2 2 2 2 3 2" xfId="13380" xr:uid="{B7D49851-84FB-4562-879B-7E26BE9EB375}"/>
    <cellStyle name="20% - Accent3 2 2 2 2 4" xfId="9162" xr:uid="{9D4724EA-BBC9-4F23-9935-5326903101E5}"/>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CB4F41A-28A7-4323-83D6-D993C661EF72}"/>
    <cellStyle name="20% - Accent3 2 2 2 3 2 3" xfId="11720" xr:uid="{35C532A6-73DB-4C37-A56F-948F28EAE354}"/>
    <cellStyle name="20% - Accent3 2 2 2 3 3" xfId="5351" xr:uid="{00000000-0005-0000-0000-00004C010000}"/>
    <cellStyle name="20% - Accent3 2 2 2 3 3 2" xfId="13793" xr:uid="{86165C61-6EDE-4136-8921-754DCDD9CBA6}"/>
    <cellStyle name="20% - Accent3 2 2 2 3 4" xfId="9575" xr:uid="{6C69FAC2-C479-4C64-8EA3-F64121B2EDBB}"/>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CFC4ED96-DE19-4882-9154-850E536C8FEA}"/>
    <cellStyle name="20% - Accent3 2 2 2 4 2 3" xfId="12133" xr:uid="{6C152624-3445-4321-9497-65F3EEA772D8}"/>
    <cellStyle name="20% - Accent3 2 2 2 4 3" xfId="5764" xr:uid="{00000000-0005-0000-0000-000050010000}"/>
    <cellStyle name="20% - Accent3 2 2 2 4 3 2" xfId="14206" xr:uid="{D2342A91-27D0-46DE-A35E-6EC1550A45A4}"/>
    <cellStyle name="20% - Accent3 2 2 2 4 4" xfId="9988" xr:uid="{D5583CFC-6B1E-4D39-8C0E-A695B91516C5}"/>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457DF042-85AC-4580-A216-F6448081F69B}"/>
    <cellStyle name="20% - Accent3 2 2 2 5 2 3" xfId="12546" xr:uid="{3F568941-C171-4151-BBB4-4EBC13BD35AE}"/>
    <cellStyle name="20% - Accent3 2 2 2 5 3" xfId="6177" xr:uid="{00000000-0005-0000-0000-000054010000}"/>
    <cellStyle name="20% - Accent3 2 2 2 5 3 2" xfId="14619" xr:uid="{1DD18449-EF62-430C-BB57-B9449857F8DC}"/>
    <cellStyle name="20% - Accent3 2 2 2 5 4" xfId="10401" xr:uid="{08EA5B2E-0884-448F-A549-2CA2609FC6E8}"/>
    <cellStyle name="20% - Accent3 2 2 2 6" xfId="2283" xr:uid="{00000000-0005-0000-0000-000055010000}"/>
    <cellStyle name="20% - Accent3 2 2 2 6 2" xfId="6590" xr:uid="{00000000-0005-0000-0000-000056010000}"/>
    <cellStyle name="20% - Accent3 2 2 2 6 2 2" xfId="15032" xr:uid="{2B463C29-2D13-4832-94ED-6572E87062F0}"/>
    <cellStyle name="20% - Accent3 2 2 2 6 3" xfId="10814" xr:uid="{D557D75D-0DB9-438A-B61B-E2F542D16E65}"/>
    <cellStyle name="20% - Accent3 2 2 2 7" xfId="4524" xr:uid="{00000000-0005-0000-0000-000057010000}"/>
    <cellStyle name="20% - Accent3 2 2 2 7 2" xfId="12966" xr:uid="{C7440966-4AC4-4F0F-BC83-932548542DD4}"/>
    <cellStyle name="20% - Accent3 2 2 2 8" xfId="8748" xr:uid="{130489D3-510D-4F63-BC8B-3DC7F45064E8}"/>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FF6AA655-9DAC-4E10-849B-0A1AEEDE3990}"/>
    <cellStyle name="20% - Accent3 2 2 3 2 3" xfId="11306" xr:uid="{0A71DD15-AC61-4C6A-B9BC-99C97D6207FB}"/>
    <cellStyle name="20% - Accent3 2 2 3 3" xfId="4937" xr:uid="{00000000-0005-0000-0000-00005B010000}"/>
    <cellStyle name="20% - Accent3 2 2 3 3 2" xfId="13379" xr:uid="{7DFD5BD4-4B98-432C-8B9C-583EAECEFE1D}"/>
    <cellStyle name="20% - Accent3 2 2 3 4" xfId="9161" xr:uid="{F2AF7C3D-D854-4F91-9BEF-9513C548C4F2}"/>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4634F43D-103D-49AC-80CA-9B959D9C93CA}"/>
    <cellStyle name="20% - Accent3 2 2 4 2 3" xfId="11719" xr:uid="{EAD91E62-B1CC-4E01-9838-F318D0DC2810}"/>
    <cellStyle name="20% - Accent3 2 2 4 3" xfId="5350" xr:uid="{00000000-0005-0000-0000-00005F010000}"/>
    <cellStyle name="20% - Accent3 2 2 4 3 2" xfId="13792" xr:uid="{36A419AA-EE84-4FAF-A263-AA46F506D059}"/>
    <cellStyle name="20% - Accent3 2 2 4 4" xfId="9574" xr:uid="{BDE9B1F3-3454-4BEC-8FF5-2528D0D2CB93}"/>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49B7A9FB-2044-446F-8DE0-B749DBB36F03}"/>
    <cellStyle name="20% - Accent3 2 2 5 2 3" xfId="12132" xr:uid="{F6FE13AE-5159-4BE1-94C5-434E87E28703}"/>
    <cellStyle name="20% - Accent3 2 2 5 3" xfId="5763" xr:uid="{00000000-0005-0000-0000-000063010000}"/>
    <cellStyle name="20% - Accent3 2 2 5 3 2" xfId="14205" xr:uid="{6589E28A-2EE1-4757-BB72-97E88F25D8E9}"/>
    <cellStyle name="20% - Accent3 2 2 5 4" xfId="9987" xr:uid="{82C3B31C-CBEF-4200-9E38-2A0E629BEF53}"/>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EDF21810-94D5-4E35-A532-E93ED5CCAFEB}"/>
    <cellStyle name="20% - Accent3 2 2 6 2 3" xfId="12545" xr:uid="{C20F167C-6488-4353-AC96-F3B2A17B4C8E}"/>
    <cellStyle name="20% - Accent3 2 2 6 3" xfId="6176" xr:uid="{00000000-0005-0000-0000-000067010000}"/>
    <cellStyle name="20% - Accent3 2 2 6 3 2" xfId="14618" xr:uid="{19406786-9DB3-46E5-9F88-B8F56A974434}"/>
    <cellStyle name="20% - Accent3 2 2 6 4" xfId="10400" xr:uid="{D0192B83-21DF-4AAB-9BFE-C09295E80D5B}"/>
    <cellStyle name="20% - Accent3 2 2 7" xfId="2282" xr:uid="{00000000-0005-0000-0000-000068010000}"/>
    <cellStyle name="20% - Accent3 2 2 7 2" xfId="6589" xr:uid="{00000000-0005-0000-0000-000069010000}"/>
    <cellStyle name="20% - Accent3 2 2 7 2 2" xfId="15031" xr:uid="{80AE5D3A-4602-4002-80D8-CA91AC00E243}"/>
    <cellStyle name="20% - Accent3 2 2 7 3" xfId="10813" xr:uid="{7C538D44-A136-4873-92F0-9CE47C6C2F01}"/>
    <cellStyle name="20% - Accent3 2 2 8" xfId="4523" xr:uid="{00000000-0005-0000-0000-00006A010000}"/>
    <cellStyle name="20% - Accent3 2 2 8 2" xfId="12965" xr:uid="{2E492D45-DF5D-492E-83C1-0000E9F28272}"/>
    <cellStyle name="20% - Accent3 2 2 9" xfId="8747" xr:uid="{F1EBA8C3-DBB8-4955-B6C2-E5731DCDD7F4}"/>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A3C03975-DE84-4FD3-9DCB-99A56497C120}"/>
    <cellStyle name="20% - Accent3 2 3 2 2 3" xfId="11308" xr:uid="{B16218C4-CF56-4EA9-BA94-D9CF05A1D142}"/>
    <cellStyle name="20% - Accent3 2 3 2 3" xfId="4939" xr:uid="{00000000-0005-0000-0000-00006F010000}"/>
    <cellStyle name="20% - Accent3 2 3 2 3 2" xfId="13381" xr:uid="{596175A0-A5E2-40C3-A2C9-1959B6E6A981}"/>
    <cellStyle name="20% - Accent3 2 3 2 4" xfId="9163" xr:uid="{1E8950F6-9963-4F15-91CF-31FE98C5EBDA}"/>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BB42F8CE-52C7-4DC8-9785-8D68434ECC89}"/>
    <cellStyle name="20% - Accent3 2 3 3 2 3" xfId="11721" xr:uid="{8BFF43B9-F817-4378-98A3-B4D5003A22C8}"/>
    <cellStyle name="20% - Accent3 2 3 3 3" xfId="5352" xr:uid="{00000000-0005-0000-0000-000073010000}"/>
    <cellStyle name="20% - Accent3 2 3 3 3 2" xfId="13794" xr:uid="{43925510-2415-4E79-B2BD-A27D90E29EF3}"/>
    <cellStyle name="20% - Accent3 2 3 3 4" xfId="9576" xr:uid="{72E9718F-36D0-4208-B5F3-AAA25C888BDD}"/>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B5368872-F816-48A0-B648-690B01EAF590}"/>
    <cellStyle name="20% - Accent3 2 3 4 2 3" xfId="12134" xr:uid="{6054CDEA-3511-4A19-8051-0031DFB30324}"/>
    <cellStyle name="20% - Accent3 2 3 4 3" xfId="5765" xr:uid="{00000000-0005-0000-0000-000077010000}"/>
    <cellStyle name="20% - Accent3 2 3 4 3 2" xfId="14207" xr:uid="{4140ACCF-4D5A-4BB7-BF96-393365DC8772}"/>
    <cellStyle name="20% - Accent3 2 3 4 4" xfId="9989" xr:uid="{1017632B-D2E0-4F7D-9729-CD5E040BE19E}"/>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E6787F72-BF22-4F92-B52F-AADF1FA0CBA9}"/>
    <cellStyle name="20% - Accent3 2 3 5 2 3" xfId="12547" xr:uid="{A6375629-A7B3-4F5D-AF20-38E91DB628B4}"/>
    <cellStyle name="20% - Accent3 2 3 5 3" xfId="6178" xr:uid="{00000000-0005-0000-0000-00007B010000}"/>
    <cellStyle name="20% - Accent3 2 3 5 3 2" xfId="14620" xr:uid="{9F1CA9C6-75C9-4DF6-A0D5-33A2CF78E96E}"/>
    <cellStyle name="20% - Accent3 2 3 5 4" xfId="10402" xr:uid="{BBBD36E8-8124-440E-81B0-845A8820BBD6}"/>
    <cellStyle name="20% - Accent3 2 3 6" xfId="2284" xr:uid="{00000000-0005-0000-0000-00007C010000}"/>
    <cellStyle name="20% - Accent3 2 3 6 2" xfId="6591" xr:uid="{00000000-0005-0000-0000-00007D010000}"/>
    <cellStyle name="20% - Accent3 2 3 6 2 2" xfId="15033" xr:uid="{45F55CC4-46FF-4711-91A0-D831D37E93E8}"/>
    <cellStyle name="20% - Accent3 2 3 6 3" xfId="10815" xr:uid="{F6F5B883-4467-4000-99F7-E840EA13F8B6}"/>
    <cellStyle name="20% - Accent3 2 3 7" xfId="4525" xr:uid="{00000000-0005-0000-0000-00007E010000}"/>
    <cellStyle name="20% - Accent3 2 3 7 2" xfId="12967" xr:uid="{F54D42F8-8817-4F00-B21C-81229FB86566}"/>
    <cellStyle name="20% - Accent3 2 3 8" xfId="8749" xr:uid="{D8F78C74-29C9-4BA3-A400-676F318D4597}"/>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EFA54673-E896-4EBC-835A-790088E055E8}"/>
    <cellStyle name="20% - Accent3 2 4 2 3" xfId="11305" xr:uid="{69DD4814-9D8E-4E00-8CD1-B630249A76CB}"/>
    <cellStyle name="20% - Accent3 2 4 3" xfId="4936" xr:uid="{00000000-0005-0000-0000-000082010000}"/>
    <cellStyle name="20% - Accent3 2 4 3 2" xfId="13378" xr:uid="{475FBF5E-84BA-4E25-AABD-83DE6D3C5A6F}"/>
    <cellStyle name="20% - Accent3 2 4 4" xfId="9160" xr:uid="{ACF31619-5F60-47F5-93B0-47291F69AFDE}"/>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1A51B46C-0A06-44E0-8E3C-29FB31B21DC2}"/>
    <cellStyle name="20% - Accent3 2 5 2 3" xfId="11718" xr:uid="{80DC4498-A6F1-4ABF-AABE-B8AE01890230}"/>
    <cellStyle name="20% - Accent3 2 5 3" xfId="5349" xr:uid="{00000000-0005-0000-0000-000086010000}"/>
    <cellStyle name="20% - Accent3 2 5 3 2" xfId="13791" xr:uid="{844CBE50-3BAE-49DF-9255-39A39BEF0BD5}"/>
    <cellStyle name="20% - Accent3 2 5 4" xfId="9573" xr:uid="{07F99B6F-16CD-45E9-BEB3-CF008BCD0895}"/>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82560E77-F352-485A-9C3C-487C93BF1323}"/>
    <cellStyle name="20% - Accent3 2 6 2 3" xfId="12131" xr:uid="{7913BEC5-2BAA-4C37-946C-D801776AEF19}"/>
    <cellStyle name="20% - Accent3 2 6 3" xfId="5762" xr:uid="{00000000-0005-0000-0000-00008A010000}"/>
    <cellStyle name="20% - Accent3 2 6 3 2" xfId="14204" xr:uid="{19E0BB7A-1EC1-437D-B167-53C336690F65}"/>
    <cellStyle name="20% - Accent3 2 6 4" xfId="9986" xr:uid="{BA943BB4-37EC-4275-BFB9-0C643840FD09}"/>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8BF54B56-6F12-4D8C-BD7D-673ED396093C}"/>
    <cellStyle name="20% - Accent3 2 7 2 3" xfId="12544" xr:uid="{CED98D41-C782-48E2-B3CB-B1B875A94CE9}"/>
    <cellStyle name="20% - Accent3 2 7 3" xfId="6175" xr:uid="{00000000-0005-0000-0000-00008E010000}"/>
    <cellStyle name="20% - Accent3 2 7 3 2" xfId="14617" xr:uid="{E2E6C13B-657C-4146-BAFD-DEB39F45C370}"/>
    <cellStyle name="20% - Accent3 2 7 4" xfId="10399" xr:uid="{18471CCD-F3FF-409D-B27F-C7D48FF8569A}"/>
    <cellStyle name="20% - Accent3 2 8" xfId="2281" xr:uid="{00000000-0005-0000-0000-00008F010000}"/>
    <cellStyle name="20% - Accent3 2 8 2" xfId="6588" xr:uid="{00000000-0005-0000-0000-000090010000}"/>
    <cellStyle name="20% - Accent3 2 8 2 2" xfId="15030" xr:uid="{FB85C571-493B-4705-BA27-2B7EB8EE152F}"/>
    <cellStyle name="20% - Accent3 2 8 3" xfId="10812" xr:uid="{084C6A6F-BBBC-4101-A9C9-9343454DFB84}"/>
    <cellStyle name="20% - Accent3 2 9" xfId="4522" xr:uid="{00000000-0005-0000-0000-000091010000}"/>
    <cellStyle name="20% - Accent3 2 9 2" xfId="12964" xr:uid="{3C8BEF24-BCE8-47EE-A432-27B3263DE254}"/>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A92123C0-E9DF-4A73-9722-5925ABA7BA3F}"/>
    <cellStyle name="20% - Accent3 3 2 2 2 3" xfId="11310" xr:uid="{CF72E573-312F-4E3E-A72F-4BEC07187B6D}"/>
    <cellStyle name="20% - Accent3 3 2 2 3" xfId="4941" xr:uid="{00000000-0005-0000-0000-000097010000}"/>
    <cellStyle name="20% - Accent3 3 2 2 3 2" xfId="13383" xr:uid="{E081F237-D721-437A-85B6-C6DAEBADF9E4}"/>
    <cellStyle name="20% - Accent3 3 2 2 4" xfId="9165" xr:uid="{1BCD54AC-FA88-4FBB-921E-F587C2F4AA5A}"/>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D63DB5DA-3658-4D39-9B97-1CF914DFA2DF}"/>
    <cellStyle name="20% - Accent3 3 2 3 2 3" xfId="11723" xr:uid="{B43B8AC8-AC37-40DA-94B1-379AFEAED3B1}"/>
    <cellStyle name="20% - Accent3 3 2 3 3" xfId="5354" xr:uid="{00000000-0005-0000-0000-00009B010000}"/>
    <cellStyle name="20% - Accent3 3 2 3 3 2" xfId="13796" xr:uid="{CF95799D-43B5-463F-928E-EABCCE973718}"/>
    <cellStyle name="20% - Accent3 3 2 3 4" xfId="9578" xr:uid="{A23E9B7A-1158-4821-BEDD-AC7AB2996C0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DEB27F80-7C3F-492F-917F-B152321B5ECA}"/>
    <cellStyle name="20% - Accent3 3 2 4 2 3" xfId="12136" xr:uid="{DCBA5B3D-966B-4D62-B053-E553A0107DD9}"/>
    <cellStyle name="20% - Accent3 3 2 4 3" xfId="5767" xr:uid="{00000000-0005-0000-0000-00009F010000}"/>
    <cellStyle name="20% - Accent3 3 2 4 3 2" xfId="14209" xr:uid="{D6414D68-991B-45E2-832F-9C503B780153}"/>
    <cellStyle name="20% - Accent3 3 2 4 4" xfId="9991" xr:uid="{52B3FA55-4A0D-44C1-BD7F-6B4FBFE35926}"/>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83C1D62A-568A-408B-A1F4-9D8FABF8DE86}"/>
    <cellStyle name="20% - Accent3 3 2 5 2 3" xfId="12549" xr:uid="{5F86A262-8CD7-4205-9262-BA9191EDC3FF}"/>
    <cellStyle name="20% - Accent3 3 2 5 3" xfId="6180" xr:uid="{00000000-0005-0000-0000-0000A3010000}"/>
    <cellStyle name="20% - Accent3 3 2 5 3 2" xfId="14622" xr:uid="{B9925F67-3E89-4497-9B22-48968020697C}"/>
    <cellStyle name="20% - Accent3 3 2 5 4" xfId="10404" xr:uid="{F27AEF74-20FA-4B8D-AF94-12DC346CAC26}"/>
    <cellStyle name="20% - Accent3 3 2 6" xfId="2286" xr:uid="{00000000-0005-0000-0000-0000A4010000}"/>
    <cellStyle name="20% - Accent3 3 2 6 2" xfId="6593" xr:uid="{00000000-0005-0000-0000-0000A5010000}"/>
    <cellStyle name="20% - Accent3 3 2 6 2 2" xfId="15035" xr:uid="{C8EA5095-8892-4AAF-B1C7-C60A4A2C4443}"/>
    <cellStyle name="20% - Accent3 3 2 6 3" xfId="10817" xr:uid="{DC9EA008-939A-4D2B-964D-19C2AC905C22}"/>
    <cellStyle name="20% - Accent3 3 2 7" xfId="4527" xr:uid="{00000000-0005-0000-0000-0000A6010000}"/>
    <cellStyle name="20% - Accent3 3 2 7 2" xfId="12969" xr:uid="{37121400-A149-407A-B8B4-FEBA75CDA789}"/>
    <cellStyle name="20% - Accent3 3 2 8" xfId="8751" xr:uid="{5F746039-1852-49C2-8ED0-BB4A6E07E05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B2083ECC-E728-4F88-B91D-4424841F2207}"/>
    <cellStyle name="20% - Accent3 3 3 2 3" xfId="11309" xr:uid="{A8227135-EEBC-47C2-A09C-F31A7FC5FE75}"/>
    <cellStyle name="20% - Accent3 3 3 3" xfId="4940" xr:uid="{00000000-0005-0000-0000-0000AA010000}"/>
    <cellStyle name="20% - Accent3 3 3 3 2" xfId="13382" xr:uid="{44624865-D726-454F-8278-766ED5B57F6E}"/>
    <cellStyle name="20% - Accent3 3 3 4" xfId="9164" xr:uid="{219DB4CC-563D-4750-A4EA-FDBAB04B49D2}"/>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1B9C3D56-F234-4DE1-A259-AA39C9E76836}"/>
    <cellStyle name="20% - Accent3 3 4 2 3" xfId="11722" xr:uid="{DD22F2AC-CAA3-4999-A3F0-8DA15826695C}"/>
    <cellStyle name="20% - Accent3 3 4 3" xfId="5353" xr:uid="{00000000-0005-0000-0000-0000AE010000}"/>
    <cellStyle name="20% - Accent3 3 4 3 2" xfId="13795" xr:uid="{65E9D252-F92A-420C-BC64-04A5E1947A4C}"/>
    <cellStyle name="20% - Accent3 3 4 4" xfId="9577" xr:uid="{2894D308-55AF-4FB5-B1AB-ED5E40D1C36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6D732AED-47B3-41D3-8520-7F3011E97174}"/>
    <cellStyle name="20% - Accent3 3 5 2 3" xfId="12135" xr:uid="{9A80B636-F7E5-43E2-A1DD-D1B29C9E2A6C}"/>
    <cellStyle name="20% - Accent3 3 5 3" xfId="5766" xr:uid="{00000000-0005-0000-0000-0000B2010000}"/>
    <cellStyle name="20% - Accent3 3 5 3 2" xfId="14208" xr:uid="{0389AEED-2D64-404B-B218-2E8ED3D07381}"/>
    <cellStyle name="20% - Accent3 3 5 4" xfId="9990" xr:uid="{00D5D0F6-358E-43A8-A374-BA2943431BF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EF938DD1-4ABA-4AE3-9CF5-D9B1ED1924F4}"/>
    <cellStyle name="20% - Accent3 3 6 2 3" xfId="12548" xr:uid="{373F29BF-7237-4B25-A98C-477DA1A59355}"/>
    <cellStyle name="20% - Accent3 3 6 3" xfId="6179" xr:uid="{00000000-0005-0000-0000-0000B6010000}"/>
    <cellStyle name="20% - Accent3 3 6 3 2" xfId="14621" xr:uid="{B322775B-E3DE-4C77-A971-B9F3F0688CF6}"/>
    <cellStyle name="20% - Accent3 3 6 4" xfId="10403" xr:uid="{E4D4CE05-6EF7-45A8-83BC-C6582E44C8D8}"/>
    <cellStyle name="20% - Accent3 3 7" xfId="2285" xr:uid="{00000000-0005-0000-0000-0000B7010000}"/>
    <cellStyle name="20% - Accent3 3 7 2" xfId="6592" xr:uid="{00000000-0005-0000-0000-0000B8010000}"/>
    <cellStyle name="20% - Accent3 3 7 2 2" xfId="15034" xr:uid="{6AF2BF50-60E5-4B8A-BD04-A9A415447CA0}"/>
    <cellStyle name="20% - Accent3 3 7 3" xfId="10816" xr:uid="{947F9F5F-F7DF-43A8-913E-804B59339FB5}"/>
    <cellStyle name="20% - Accent3 3 8" xfId="4526" xr:uid="{00000000-0005-0000-0000-0000B9010000}"/>
    <cellStyle name="20% - Accent3 3 8 2" xfId="12968" xr:uid="{B435DE55-E8FB-4072-A5DA-EF187459D24E}"/>
    <cellStyle name="20% - Accent3 3 9" xfId="8750" xr:uid="{5105FB75-305D-4B63-A98F-C48875F3CCF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6CA5A0C1-B97A-4163-BAEB-F230AFB6C800}"/>
    <cellStyle name="20% - Accent3 4 2 2 3" xfId="11311" xr:uid="{5C23CEC4-593D-46C5-B447-4DFD10747B20}"/>
    <cellStyle name="20% - Accent3 4 2 3" xfId="4942" xr:uid="{00000000-0005-0000-0000-0000BE010000}"/>
    <cellStyle name="20% - Accent3 4 2 3 2" xfId="13384" xr:uid="{9113E37A-5BFB-4BD0-B6E5-059081B71B96}"/>
    <cellStyle name="20% - Accent3 4 2 4" xfId="9166" xr:uid="{54B43EE2-94EA-46A6-A14D-D492373CA0CE}"/>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BB34A604-508F-4756-B946-31915E353676}"/>
    <cellStyle name="20% - Accent3 4 3 2 3" xfId="11724" xr:uid="{3636C4AD-9455-4712-B3D9-7123E798D35D}"/>
    <cellStyle name="20% - Accent3 4 3 3" xfId="5355" xr:uid="{00000000-0005-0000-0000-0000C2010000}"/>
    <cellStyle name="20% - Accent3 4 3 3 2" xfId="13797" xr:uid="{CB533CBD-CC58-41F5-88A9-DF0EE54C0B9D}"/>
    <cellStyle name="20% - Accent3 4 3 4" xfId="9579" xr:uid="{7D31A840-0F7D-444A-B53B-CC40D72591D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9B507275-4478-4DD1-A326-97727541DDEE}"/>
    <cellStyle name="20% - Accent3 4 4 2 3" xfId="12137" xr:uid="{8DCE0EA7-D3EC-4239-B19D-4ECBC700015C}"/>
    <cellStyle name="20% - Accent3 4 4 3" xfId="5768" xr:uid="{00000000-0005-0000-0000-0000C6010000}"/>
    <cellStyle name="20% - Accent3 4 4 3 2" xfId="14210" xr:uid="{47D7B175-11ED-4507-A2D0-1165EC5796F0}"/>
    <cellStyle name="20% - Accent3 4 4 4" xfId="9992" xr:uid="{04114913-9C3E-44AA-BB66-E146F1EA087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A50700DB-450E-4D35-8528-2F0F7DAC9AEB}"/>
    <cellStyle name="20% - Accent3 4 5 2 3" xfId="12550" xr:uid="{D5B0BD70-1BC6-4AB1-85F6-17B994F03547}"/>
    <cellStyle name="20% - Accent3 4 5 3" xfId="6181" xr:uid="{00000000-0005-0000-0000-0000CA010000}"/>
    <cellStyle name="20% - Accent3 4 5 3 2" xfId="14623" xr:uid="{83EF6086-04CA-4863-A5A5-C310A5EA5553}"/>
    <cellStyle name="20% - Accent3 4 5 4" xfId="10405" xr:uid="{8814E803-DD05-4702-8610-724DC85E963B}"/>
    <cellStyle name="20% - Accent3 4 6" xfId="2287" xr:uid="{00000000-0005-0000-0000-0000CB010000}"/>
    <cellStyle name="20% - Accent3 4 6 2" xfId="6594" xr:uid="{00000000-0005-0000-0000-0000CC010000}"/>
    <cellStyle name="20% - Accent3 4 6 2 2" xfId="15036" xr:uid="{95D5A232-0A8E-452F-A464-875663D6E1CC}"/>
    <cellStyle name="20% - Accent3 4 6 3" xfId="10818" xr:uid="{2F79EC51-5F28-4374-B55E-7A7D14EEC646}"/>
    <cellStyle name="20% - Accent3 4 7" xfId="4528" xr:uid="{00000000-0005-0000-0000-0000CD010000}"/>
    <cellStyle name="20% - Accent3 4 7 2" xfId="12970" xr:uid="{4795BA9D-199A-41B7-80D7-34448D744C39}"/>
    <cellStyle name="20% - Accent3 4 8" xfId="8752" xr:uid="{1D9F09CD-FA00-4224-A977-401FA2DB1B5C}"/>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1A2F5E3D-8B82-4345-8E7D-80872A93ADFF}"/>
    <cellStyle name="20% - Accent3 5 2 3" xfId="11304" xr:uid="{FD35ED49-4FCA-40C8-87CA-C53805EC1EAC}"/>
    <cellStyle name="20% - Accent3 5 3" xfId="4935" xr:uid="{00000000-0005-0000-0000-0000D1010000}"/>
    <cellStyle name="20% - Accent3 5 3 2" xfId="13377" xr:uid="{748D540C-F071-4939-B5C3-77FA39A03D08}"/>
    <cellStyle name="20% - Accent3 5 4" xfId="9159" xr:uid="{687C69B9-52A4-4CF7-95D2-6B7F1F29DFE6}"/>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CC07BC82-39D4-48C1-9C3D-16ED18ED3EA5}"/>
    <cellStyle name="20% - Accent3 6 2 3" xfId="11717" xr:uid="{BBA2E2F9-AA05-4A99-B8F4-9E11B20A3911}"/>
    <cellStyle name="20% - Accent3 6 3" xfId="5348" xr:uid="{00000000-0005-0000-0000-0000D5010000}"/>
    <cellStyle name="20% - Accent3 6 3 2" xfId="13790" xr:uid="{6DC3C2FF-70F2-4072-8138-6DDBFB441475}"/>
    <cellStyle name="20% - Accent3 6 4" xfId="9572" xr:uid="{0D3AA871-4B67-484B-9336-BF3AC9E0A4AD}"/>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5C1A74CE-6A57-4194-80BA-66D22A9B2B6C}"/>
    <cellStyle name="20% - Accent3 7 2 3" xfId="12130" xr:uid="{919B8928-3418-4A1E-8FEF-685B89EE1784}"/>
    <cellStyle name="20% - Accent3 7 3" xfId="5761" xr:uid="{00000000-0005-0000-0000-0000D9010000}"/>
    <cellStyle name="20% - Accent3 7 3 2" xfId="14203" xr:uid="{4B81104C-CB71-4978-9A0A-66DFF26CBA64}"/>
    <cellStyle name="20% - Accent3 7 4" xfId="9985" xr:uid="{7D6D0FF1-7040-4A2E-A718-8A90EAFCD40C}"/>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4A397348-5BDF-474C-93C1-8017864E16E8}"/>
    <cellStyle name="20% - Accent3 8 2 3" xfId="12543" xr:uid="{15844714-5CAB-4807-BE2F-C27039BFCFB3}"/>
    <cellStyle name="20% - Accent3 8 3" xfId="6174" xr:uid="{00000000-0005-0000-0000-0000DD010000}"/>
    <cellStyle name="20% - Accent3 8 3 2" xfId="14616" xr:uid="{52758CD4-7582-4B9C-A2D2-7F7F63E9136D}"/>
    <cellStyle name="20% - Accent3 8 4" xfId="10398" xr:uid="{7372C69F-7746-46ED-96A6-434B785042C2}"/>
    <cellStyle name="20% - Accent3 9" xfId="2280" xr:uid="{00000000-0005-0000-0000-0000DE010000}"/>
    <cellStyle name="20% - Accent3 9 2" xfId="6587" xr:uid="{00000000-0005-0000-0000-0000DF010000}"/>
    <cellStyle name="20% - Accent3 9 2 2" xfId="15029" xr:uid="{C133D83E-8269-4582-AA2D-2BA87B62DDDE}"/>
    <cellStyle name="20% - Accent3 9 3" xfId="10811" xr:uid="{0E462D2C-3147-4C2A-AC5E-435F995BBBD8}"/>
    <cellStyle name="20% - Accent4" xfId="25" builtinId="42" customBuiltin="1"/>
    <cellStyle name="20% - Accent4 10" xfId="4529" xr:uid="{00000000-0005-0000-0000-0000E1010000}"/>
    <cellStyle name="20% - Accent4 10 2" xfId="12971" xr:uid="{6001A2DD-9EDE-46B7-913F-57CB7828D108}"/>
    <cellStyle name="20% - Accent4 11" xfId="8753" xr:uid="{34EEE67B-7AA7-4AA8-A691-64BBFD189FAE}"/>
    <cellStyle name="20% - Accent4 2" xfId="26" xr:uid="{00000000-0005-0000-0000-0000E2010000}"/>
    <cellStyle name="20% - Accent4 2 10" xfId="8754" xr:uid="{134099D4-AA18-41F9-BA38-47844E120F6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ADF2E0CE-C6FF-4FF4-97E4-BAB5F3A50398}"/>
    <cellStyle name="20% - Accent4 2 2 2 2 2 3" xfId="11315" xr:uid="{3EE9510E-3FB6-43B1-84FE-34FBFB9ADF8C}"/>
    <cellStyle name="20% - Accent4 2 2 2 2 3" xfId="4946" xr:uid="{00000000-0005-0000-0000-0000E8010000}"/>
    <cellStyle name="20% - Accent4 2 2 2 2 3 2" xfId="13388" xr:uid="{643F0BCB-2BCD-44E4-BCB8-5D59CBCC76A1}"/>
    <cellStyle name="20% - Accent4 2 2 2 2 4" xfId="9170" xr:uid="{906E72DB-D146-4221-8641-8682D9B69BCA}"/>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4DD6CCF1-81C4-4E8A-8A43-BF9566F264A7}"/>
    <cellStyle name="20% - Accent4 2 2 2 3 2 3" xfId="11728" xr:uid="{16F9510F-775A-4CBE-A3D7-6381A9F7BE5D}"/>
    <cellStyle name="20% - Accent4 2 2 2 3 3" xfId="5359" xr:uid="{00000000-0005-0000-0000-0000EC010000}"/>
    <cellStyle name="20% - Accent4 2 2 2 3 3 2" xfId="13801" xr:uid="{41AA9123-9C4B-4316-97DF-8AC0EDB9C030}"/>
    <cellStyle name="20% - Accent4 2 2 2 3 4" xfId="9583" xr:uid="{297A829D-FC11-40CC-AC86-D240C6AE8BEA}"/>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86C9FF9E-742E-4FB6-84A9-7FCB2B46FB22}"/>
    <cellStyle name="20% - Accent4 2 2 2 4 2 3" xfId="12141" xr:uid="{00D7DA8B-75D8-4DBA-88F0-8C4EA5787CED}"/>
    <cellStyle name="20% - Accent4 2 2 2 4 3" xfId="5772" xr:uid="{00000000-0005-0000-0000-0000F0010000}"/>
    <cellStyle name="20% - Accent4 2 2 2 4 3 2" xfId="14214" xr:uid="{57B43F90-928A-485A-AA16-763DAB982024}"/>
    <cellStyle name="20% - Accent4 2 2 2 4 4" xfId="9996" xr:uid="{8BCE106E-F5B6-442E-98F3-EACA3E75C393}"/>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A9E70731-3F5C-463C-AE46-5CCFD0ADB718}"/>
    <cellStyle name="20% - Accent4 2 2 2 5 2 3" xfId="12554" xr:uid="{C88B1F79-2814-4070-ABAA-0128A5AD716C}"/>
    <cellStyle name="20% - Accent4 2 2 2 5 3" xfId="6185" xr:uid="{00000000-0005-0000-0000-0000F4010000}"/>
    <cellStyle name="20% - Accent4 2 2 2 5 3 2" xfId="14627" xr:uid="{2B2FB0A6-C9CC-49A9-ADD3-F4D54EE363B7}"/>
    <cellStyle name="20% - Accent4 2 2 2 5 4" xfId="10409" xr:uid="{1E95337A-6CEB-471F-B534-C05E93659EEF}"/>
    <cellStyle name="20% - Accent4 2 2 2 6" xfId="2291" xr:uid="{00000000-0005-0000-0000-0000F5010000}"/>
    <cellStyle name="20% - Accent4 2 2 2 6 2" xfId="6598" xr:uid="{00000000-0005-0000-0000-0000F6010000}"/>
    <cellStyle name="20% - Accent4 2 2 2 6 2 2" xfId="15040" xr:uid="{E730CAE4-A406-4376-8B2D-B1897AB61D71}"/>
    <cellStyle name="20% - Accent4 2 2 2 6 3" xfId="10822" xr:uid="{4C0B6441-A4F0-4924-B39A-74890C2FD2DA}"/>
    <cellStyle name="20% - Accent4 2 2 2 7" xfId="4532" xr:uid="{00000000-0005-0000-0000-0000F7010000}"/>
    <cellStyle name="20% - Accent4 2 2 2 7 2" xfId="12974" xr:uid="{67F2FE91-1FD4-45E5-9BEA-8EF6E5843FCE}"/>
    <cellStyle name="20% - Accent4 2 2 2 8" xfId="8756" xr:uid="{7F2F4856-5E8F-4979-85B9-5CB97B0907E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06F9D001-B298-4A74-B17E-BBCBBF3E46F7}"/>
    <cellStyle name="20% - Accent4 2 2 3 2 3" xfId="11314" xr:uid="{F1F1BCD2-A960-47C6-A2B2-DC0DBB9C7C49}"/>
    <cellStyle name="20% - Accent4 2 2 3 3" xfId="4945" xr:uid="{00000000-0005-0000-0000-0000FB010000}"/>
    <cellStyle name="20% - Accent4 2 2 3 3 2" xfId="13387" xr:uid="{33AE3779-737E-49EF-8297-8A57C4D31EC4}"/>
    <cellStyle name="20% - Accent4 2 2 3 4" xfId="9169" xr:uid="{AC8AA702-237B-49EE-80E5-F07A828B66B3}"/>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3C5C29B2-8A64-457C-9998-88567E014750}"/>
    <cellStyle name="20% - Accent4 2 2 4 2 3" xfId="11727" xr:uid="{D95B027A-C350-442D-89A1-27D29D65E82D}"/>
    <cellStyle name="20% - Accent4 2 2 4 3" xfId="5358" xr:uid="{00000000-0005-0000-0000-0000FF010000}"/>
    <cellStyle name="20% - Accent4 2 2 4 3 2" xfId="13800" xr:uid="{7100A297-D73A-43ED-BD25-EBF75E4F0326}"/>
    <cellStyle name="20% - Accent4 2 2 4 4" xfId="9582" xr:uid="{0EB69FF2-191B-4EA8-9D1C-A7C782F7C5B6}"/>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3F0D460B-0F89-4E7A-888C-6102E8AD039E}"/>
    <cellStyle name="20% - Accent4 2 2 5 2 3" xfId="12140" xr:uid="{FDAFAE2E-BD1D-437C-86B1-9BC624CD0783}"/>
    <cellStyle name="20% - Accent4 2 2 5 3" xfId="5771" xr:uid="{00000000-0005-0000-0000-000003020000}"/>
    <cellStyle name="20% - Accent4 2 2 5 3 2" xfId="14213" xr:uid="{5B205B8B-AFBB-4C59-8CEE-6545F6B0DC66}"/>
    <cellStyle name="20% - Accent4 2 2 5 4" xfId="9995" xr:uid="{2490845B-7585-4BDE-9415-2230C14D768A}"/>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8EA7B164-4ACA-44CE-9119-64B88557E655}"/>
    <cellStyle name="20% - Accent4 2 2 6 2 3" xfId="12553" xr:uid="{6C97D543-9E29-48B9-9445-03FAF903C9FB}"/>
    <cellStyle name="20% - Accent4 2 2 6 3" xfId="6184" xr:uid="{00000000-0005-0000-0000-000007020000}"/>
    <cellStyle name="20% - Accent4 2 2 6 3 2" xfId="14626" xr:uid="{0A37C37E-8DF5-4B11-995F-83C87DE06063}"/>
    <cellStyle name="20% - Accent4 2 2 6 4" xfId="10408" xr:uid="{385E29BA-0D1F-4D61-865D-890692B381CA}"/>
    <cellStyle name="20% - Accent4 2 2 7" xfId="2290" xr:uid="{00000000-0005-0000-0000-000008020000}"/>
    <cellStyle name="20% - Accent4 2 2 7 2" xfId="6597" xr:uid="{00000000-0005-0000-0000-000009020000}"/>
    <cellStyle name="20% - Accent4 2 2 7 2 2" xfId="15039" xr:uid="{DFA5DCB8-F013-4016-B3F6-B57D68835F8E}"/>
    <cellStyle name="20% - Accent4 2 2 7 3" xfId="10821" xr:uid="{17A7B645-2AEB-4AB7-B724-1FF57F28F142}"/>
    <cellStyle name="20% - Accent4 2 2 8" xfId="4531" xr:uid="{00000000-0005-0000-0000-00000A020000}"/>
    <cellStyle name="20% - Accent4 2 2 8 2" xfId="12973" xr:uid="{F68EBA4D-990C-4BD2-BC2B-4AA43490081A}"/>
    <cellStyle name="20% - Accent4 2 2 9" xfId="8755" xr:uid="{6FD242EE-A397-444A-A511-1A46D99B9B76}"/>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8D525CD7-C1E6-40FD-BDC3-53C3433160C8}"/>
    <cellStyle name="20% - Accent4 2 3 2 2 3" xfId="11316" xr:uid="{0D1B6861-80E7-4EBB-95DA-9E3904D1B538}"/>
    <cellStyle name="20% - Accent4 2 3 2 3" xfId="4947" xr:uid="{00000000-0005-0000-0000-00000F020000}"/>
    <cellStyle name="20% - Accent4 2 3 2 3 2" xfId="13389" xr:uid="{DA4EB07A-6516-4E89-AF0D-E508D559D146}"/>
    <cellStyle name="20% - Accent4 2 3 2 4" xfId="9171" xr:uid="{C619CEE4-0409-487E-9266-0F3A60702BED}"/>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B1B5EB5C-8819-4DE3-A18A-195F49382AE6}"/>
    <cellStyle name="20% - Accent4 2 3 3 2 3" xfId="11729" xr:uid="{41DFFD28-9858-4A00-AAA5-078BE10E04A9}"/>
    <cellStyle name="20% - Accent4 2 3 3 3" xfId="5360" xr:uid="{00000000-0005-0000-0000-000013020000}"/>
    <cellStyle name="20% - Accent4 2 3 3 3 2" xfId="13802" xr:uid="{01F80C7D-818A-4504-9080-8B057849AB6C}"/>
    <cellStyle name="20% - Accent4 2 3 3 4" xfId="9584" xr:uid="{9AD9B49A-719C-4A23-8CDF-6F5705D8FA36}"/>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DC1279B9-0785-45E2-A068-7F143C8C49B2}"/>
    <cellStyle name="20% - Accent4 2 3 4 2 3" xfId="12142" xr:uid="{34E79290-ECB3-4EE9-88A9-DA88C15166BC}"/>
    <cellStyle name="20% - Accent4 2 3 4 3" xfId="5773" xr:uid="{00000000-0005-0000-0000-000017020000}"/>
    <cellStyle name="20% - Accent4 2 3 4 3 2" xfId="14215" xr:uid="{C0497897-1995-4B9D-9A91-0142CC4B0427}"/>
    <cellStyle name="20% - Accent4 2 3 4 4" xfId="9997" xr:uid="{8B103661-B52C-4FA0-81F3-FD2A637DC3F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70C7C8ED-176D-46D9-8C28-A1755DECAA54}"/>
    <cellStyle name="20% - Accent4 2 3 5 2 3" xfId="12555" xr:uid="{4AC1DD0A-2F15-41E5-81C0-FDA491B30429}"/>
    <cellStyle name="20% - Accent4 2 3 5 3" xfId="6186" xr:uid="{00000000-0005-0000-0000-00001B020000}"/>
    <cellStyle name="20% - Accent4 2 3 5 3 2" xfId="14628" xr:uid="{A9E2B40C-9E76-45CF-8193-C041DFF32AF0}"/>
    <cellStyle name="20% - Accent4 2 3 5 4" xfId="10410" xr:uid="{5A8E70BE-8592-4750-A2F1-C76BD22B44C3}"/>
    <cellStyle name="20% - Accent4 2 3 6" xfId="2292" xr:uid="{00000000-0005-0000-0000-00001C020000}"/>
    <cellStyle name="20% - Accent4 2 3 6 2" xfId="6599" xr:uid="{00000000-0005-0000-0000-00001D020000}"/>
    <cellStyle name="20% - Accent4 2 3 6 2 2" xfId="15041" xr:uid="{21F685D6-D0F7-4043-A3CB-824DDD65C4C6}"/>
    <cellStyle name="20% - Accent4 2 3 6 3" xfId="10823" xr:uid="{F8094398-47A2-4BC5-ADCC-50BA0B736865}"/>
    <cellStyle name="20% - Accent4 2 3 7" xfId="4533" xr:uid="{00000000-0005-0000-0000-00001E020000}"/>
    <cellStyle name="20% - Accent4 2 3 7 2" xfId="12975" xr:uid="{65F8E79E-7A1D-4751-A668-22CD47243B12}"/>
    <cellStyle name="20% - Accent4 2 3 8" xfId="8757" xr:uid="{39B0756C-D621-4DF3-8AED-7C9CFD6B3C85}"/>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290B50FB-DE84-4110-B69F-AD3838E116CA}"/>
    <cellStyle name="20% - Accent4 2 4 2 3" xfId="11313" xr:uid="{66E7F86F-98CA-4232-9036-D5357DFCBD54}"/>
    <cellStyle name="20% - Accent4 2 4 3" xfId="4944" xr:uid="{00000000-0005-0000-0000-000022020000}"/>
    <cellStyle name="20% - Accent4 2 4 3 2" xfId="13386" xr:uid="{6B160BE1-9077-4BB2-B1CD-3D62D67CE721}"/>
    <cellStyle name="20% - Accent4 2 4 4" xfId="9168" xr:uid="{8D969F8F-1150-4E63-939E-C1FE9EC99635}"/>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5E05A3FB-0F29-46A3-8BDF-9F8F00D2AC9B}"/>
    <cellStyle name="20% - Accent4 2 5 2 3" xfId="11726" xr:uid="{B06C8D03-5A15-4718-997B-5AD08D2A9628}"/>
    <cellStyle name="20% - Accent4 2 5 3" xfId="5357" xr:uid="{00000000-0005-0000-0000-000026020000}"/>
    <cellStyle name="20% - Accent4 2 5 3 2" xfId="13799" xr:uid="{996FFED3-27DC-4EBE-8833-8B92C646553A}"/>
    <cellStyle name="20% - Accent4 2 5 4" xfId="9581" xr:uid="{9B4FA0BF-DA05-483F-BF2B-A220DDEBD7EB}"/>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09F7E473-815C-4AF1-A2A7-2FCF0723AA48}"/>
    <cellStyle name="20% - Accent4 2 6 2 3" xfId="12139" xr:uid="{97ABE93C-A5AC-4D1D-80C8-624773A2C32E}"/>
    <cellStyle name="20% - Accent4 2 6 3" xfId="5770" xr:uid="{00000000-0005-0000-0000-00002A020000}"/>
    <cellStyle name="20% - Accent4 2 6 3 2" xfId="14212" xr:uid="{7C6D7D4F-73D7-4CEF-83C2-0FE4DE6CAAFC}"/>
    <cellStyle name="20% - Accent4 2 6 4" xfId="9994" xr:uid="{99DABF72-43AF-4D3F-AAD6-161254D55B44}"/>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C55DFCD5-15C5-4772-94DC-6C6539ED2783}"/>
    <cellStyle name="20% - Accent4 2 7 2 3" xfId="12552" xr:uid="{897898A9-C495-45C9-89F8-6E1893401C21}"/>
    <cellStyle name="20% - Accent4 2 7 3" xfId="6183" xr:uid="{00000000-0005-0000-0000-00002E020000}"/>
    <cellStyle name="20% - Accent4 2 7 3 2" xfId="14625" xr:uid="{64145E0D-9E77-4D64-B54E-6CEA0E1A422E}"/>
    <cellStyle name="20% - Accent4 2 7 4" xfId="10407" xr:uid="{33CFB1E4-8943-4270-B71E-7C04F6823354}"/>
    <cellStyle name="20% - Accent4 2 8" xfId="2289" xr:uid="{00000000-0005-0000-0000-00002F020000}"/>
    <cellStyle name="20% - Accent4 2 8 2" xfId="6596" xr:uid="{00000000-0005-0000-0000-000030020000}"/>
    <cellStyle name="20% - Accent4 2 8 2 2" xfId="15038" xr:uid="{14ED288C-DF41-44D8-8485-8A0B054C9545}"/>
    <cellStyle name="20% - Accent4 2 8 3" xfId="10820" xr:uid="{DDC37F88-56D3-487B-832D-A33C4361F85E}"/>
    <cellStyle name="20% - Accent4 2 9" xfId="4530" xr:uid="{00000000-0005-0000-0000-000031020000}"/>
    <cellStyle name="20% - Accent4 2 9 2" xfId="12972" xr:uid="{4BCFBDE5-82CE-4258-A102-1E4D7436ED6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7A666539-88B5-4E41-A8A0-A982718323D4}"/>
    <cellStyle name="20% - Accent4 3 2 2 2 3" xfId="11318" xr:uid="{D2D30672-54C2-4D58-994B-3C63B81A3BC1}"/>
    <cellStyle name="20% - Accent4 3 2 2 3" xfId="4949" xr:uid="{00000000-0005-0000-0000-000037020000}"/>
    <cellStyle name="20% - Accent4 3 2 2 3 2" xfId="13391" xr:uid="{E10272EB-70F2-4064-BB8D-1E204CED0177}"/>
    <cellStyle name="20% - Accent4 3 2 2 4" xfId="9173" xr:uid="{BFB44DDD-462A-42DC-AF43-4FAC185ACE12}"/>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07C92B33-7B1F-4460-8A72-06CE2D53ECC7}"/>
    <cellStyle name="20% - Accent4 3 2 3 2 3" xfId="11731" xr:uid="{DBD10D08-28EF-4099-B694-154B83D1F4E2}"/>
    <cellStyle name="20% - Accent4 3 2 3 3" xfId="5362" xr:uid="{00000000-0005-0000-0000-00003B020000}"/>
    <cellStyle name="20% - Accent4 3 2 3 3 2" xfId="13804" xr:uid="{8D5A3255-E187-4130-83DD-2850EB29E328}"/>
    <cellStyle name="20% - Accent4 3 2 3 4" xfId="9586" xr:uid="{734A7ACF-BACF-4C8E-93E5-97D45806F27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AE453D05-DF71-4D67-ACB6-6E7BA0DA1CE8}"/>
    <cellStyle name="20% - Accent4 3 2 4 2 3" xfId="12144" xr:uid="{A97DCEE3-7A49-4B9F-8688-59E212322FFA}"/>
    <cellStyle name="20% - Accent4 3 2 4 3" xfId="5775" xr:uid="{00000000-0005-0000-0000-00003F020000}"/>
    <cellStyle name="20% - Accent4 3 2 4 3 2" xfId="14217" xr:uid="{B52B8E4D-1A73-4127-988B-010B6FD3BF75}"/>
    <cellStyle name="20% - Accent4 3 2 4 4" xfId="9999" xr:uid="{42BD0D10-F0E6-4453-A38D-E28882B57818}"/>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997E87FF-D606-4040-A6E3-4CC8727E1E99}"/>
    <cellStyle name="20% - Accent4 3 2 5 2 3" xfId="12557" xr:uid="{7DA525D1-07CA-4D7A-BCCD-1F72E35C5D08}"/>
    <cellStyle name="20% - Accent4 3 2 5 3" xfId="6188" xr:uid="{00000000-0005-0000-0000-000043020000}"/>
    <cellStyle name="20% - Accent4 3 2 5 3 2" xfId="14630" xr:uid="{9745DB33-74FE-41D1-B8F0-F2DFE1019217}"/>
    <cellStyle name="20% - Accent4 3 2 5 4" xfId="10412" xr:uid="{F3BC2B2F-69B0-48D7-91CE-84FF762A6B76}"/>
    <cellStyle name="20% - Accent4 3 2 6" xfId="2294" xr:uid="{00000000-0005-0000-0000-000044020000}"/>
    <cellStyle name="20% - Accent4 3 2 6 2" xfId="6601" xr:uid="{00000000-0005-0000-0000-000045020000}"/>
    <cellStyle name="20% - Accent4 3 2 6 2 2" xfId="15043" xr:uid="{CA5FF453-1849-41E7-A624-F30F4175ADEF}"/>
    <cellStyle name="20% - Accent4 3 2 6 3" xfId="10825" xr:uid="{CFEF34C0-F13B-43F4-BDA0-4580870C90A9}"/>
    <cellStyle name="20% - Accent4 3 2 7" xfId="4535" xr:uid="{00000000-0005-0000-0000-000046020000}"/>
    <cellStyle name="20% - Accent4 3 2 7 2" xfId="12977" xr:uid="{44192F29-BBDE-4078-BA78-B50C7D54D623}"/>
    <cellStyle name="20% - Accent4 3 2 8" xfId="8759" xr:uid="{BE24B7C3-D16B-499F-87E3-3CFE86A76188}"/>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F6B25D3A-9B1B-4F72-8C75-2C6815749257}"/>
    <cellStyle name="20% - Accent4 3 3 2 3" xfId="11317" xr:uid="{3F1C27D1-25A6-4E19-8FBD-01EE1ABE2E9E}"/>
    <cellStyle name="20% - Accent4 3 3 3" xfId="4948" xr:uid="{00000000-0005-0000-0000-00004A020000}"/>
    <cellStyle name="20% - Accent4 3 3 3 2" xfId="13390" xr:uid="{722ED9F6-9A19-447F-A700-966539143162}"/>
    <cellStyle name="20% - Accent4 3 3 4" xfId="9172" xr:uid="{64F57D82-7041-4062-8526-CAA04AD4886C}"/>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61715D53-A062-49F3-B8CB-8D2F3197BE0A}"/>
    <cellStyle name="20% - Accent4 3 4 2 3" xfId="11730" xr:uid="{055A2B70-BB01-4C4B-8B1E-2E0188944AEB}"/>
    <cellStyle name="20% - Accent4 3 4 3" xfId="5361" xr:uid="{00000000-0005-0000-0000-00004E020000}"/>
    <cellStyle name="20% - Accent4 3 4 3 2" xfId="13803" xr:uid="{1BB67809-856F-4F2F-B06C-DB1FC2B77495}"/>
    <cellStyle name="20% - Accent4 3 4 4" xfId="9585" xr:uid="{67BCD3C8-EEE7-4764-B81F-759624D09D9C}"/>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06F722C5-B4C8-40B4-9FA0-8CFAF649E5F1}"/>
    <cellStyle name="20% - Accent4 3 5 2 3" xfId="12143" xr:uid="{D45F81C4-F6E1-4EDD-9E60-2C5A60D2CC0F}"/>
    <cellStyle name="20% - Accent4 3 5 3" xfId="5774" xr:uid="{00000000-0005-0000-0000-000052020000}"/>
    <cellStyle name="20% - Accent4 3 5 3 2" xfId="14216" xr:uid="{B8D6297F-3911-4C0C-894F-AD0B201E1E33}"/>
    <cellStyle name="20% - Accent4 3 5 4" xfId="9998" xr:uid="{3FD9645B-1A74-4F8E-9F2C-639DA0AB77E2}"/>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0204A28A-7678-4DFB-BAA5-6E35BC51BAC2}"/>
    <cellStyle name="20% - Accent4 3 6 2 3" xfId="12556" xr:uid="{7978DC3C-6A4B-4C8F-8977-B52BD7E86F8B}"/>
    <cellStyle name="20% - Accent4 3 6 3" xfId="6187" xr:uid="{00000000-0005-0000-0000-000056020000}"/>
    <cellStyle name="20% - Accent4 3 6 3 2" xfId="14629" xr:uid="{FAD3A61A-22D9-4A8F-9F85-D26DC9836674}"/>
    <cellStyle name="20% - Accent4 3 6 4" xfId="10411" xr:uid="{7BA5DDC8-1538-4772-8EDE-63225F9AD2BF}"/>
    <cellStyle name="20% - Accent4 3 7" xfId="2293" xr:uid="{00000000-0005-0000-0000-000057020000}"/>
    <cellStyle name="20% - Accent4 3 7 2" xfId="6600" xr:uid="{00000000-0005-0000-0000-000058020000}"/>
    <cellStyle name="20% - Accent4 3 7 2 2" xfId="15042" xr:uid="{0AC972E3-0E4C-46E3-B1E9-C53C78205DE9}"/>
    <cellStyle name="20% - Accent4 3 7 3" xfId="10824" xr:uid="{06268AFC-E776-43EB-A3EF-0777684E5103}"/>
    <cellStyle name="20% - Accent4 3 8" xfId="4534" xr:uid="{00000000-0005-0000-0000-000059020000}"/>
    <cellStyle name="20% - Accent4 3 8 2" xfId="12976" xr:uid="{1A13E1F0-8BA7-40D1-98F2-418DDA0FCFD1}"/>
    <cellStyle name="20% - Accent4 3 9" xfId="8758" xr:uid="{AE7834E3-5E25-471D-A7E9-40C3B4798D5C}"/>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96D5F979-CFF8-4279-9697-35EC1CA818B3}"/>
    <cellStyle name="20% - Accent4 4 2 2 3" xfId="11319" xr:uid="{F5293992-7A5E-4C27-9F85-9A40F4766C42}"/>
    <cellStyle name="20% - Accent4 4 2 3" xfId="4950" xr:uid="{00000000-0005-0000-0000-00005E020000}"/>
    <cellStyle name="20% - Accent4 4 2 3 2" xfId="13392" xr:uid="{4BE3B67A-F052-42F5-91A3-6DAFDB0CDF60}"/>
    <cellStyle name="20% - Accent4 4 2 4" xfId="9174" xr:uid="{14A867E7-E3FE-409E-A24A-C1FB5C8C651F}"/>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8A2B895B-846B-4712-A381-8623EDE7049E}"/>
    <cellStyle name="20% - Accent4 4 3 2 3" xfId="11732" xr:uid="{492A9426-82DF-42A3-9DAD-BEF245C579BF}"/>
    <cellStyle name="20% - Accent4 4 3 3" xfId="5363" xr:uid="{00000000-0005-0000-0000-000062020000}"/>
    <cellStyle name="20% - Accent4 4 3 3 2" xfId="13805" xr:uid="{A697A022-3E05-4992-A66F-75FBBDCD300C}"/>
    <cellStyle name="20% - Accent4 4 3 4" xfId="9587" xr:uid="{4760D451-D8A8-4A01-BC10-A2FCFA656A0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5E17249C-0CF7-4846-A774-3CA7AE5B70B4}"/>
    <cellStyle name="20% - Accent4 4 4 2 3" xfId="12145" xr:uid="{44300B45-1C42-4525-AE7B-5543BAE65652}"/>
    <cellStyle name="20% - Accent4 4 4 3" xfId="5776" xr:uid="{00000000-0005-0000-0000-000066020000}"/>
    <cellStyle name="20% - Accent4 4 4 3 2" xfId="14218" xr:uid="{29F024E5-898B-4EFD-89B9-CD20FC98A45A}"/>
    <cellStyle name="20% - Accent4 4 4 4" xfId="10000" xr:uid="{BC8EEB20-E2E1-4D26-BEFB-3B086C130C9D}"/>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C77F2B53-2CE1-43D0-9CA8-429F54D6BCD0}"/>
    <cellStyle name="20% - Accent4 4 5 2 3" xfId="12558" xr:uid="{D57EA33C-BAAB-485C-B035-45D080D771CA}"/>
    <cellStyle name="20% - Accent4 4 5 3" xfId="6189" xr:uid="{00000000-0005-0000-0000-00006A020000}"/>
    <cellStyle name="20% - Accent4 4 5 3 2" xfId="14631" xr:uid="{4EFDE337-A6E3-4C40-A681-00687AF762D4}"/>
    <cellStyle name="20% - Accent4 4 5 4" xfId="10413" xr:uid="{A1313196-A221-48E6-8763-7FEFEDB50590}"/>
    <cellStyle name="20% - Accent4 4 6" xfId="2295" xr:uid="{00000000-0005-0000-0000-00006B020000}"/>
    <cellStyle name="20% - Accent4 4 6 2" xfId="6602" xr:uid="{00000000-0005-0000-0000-00006C020000}"/>
    <cellStyle name="20% - Accent4 4 6 2 2" xfId="15044" xr:uid="{EE1AEF98-3212-4014-9885-63258B65C8D4}"/>
    <cellStyle name="20% - Accent4 4 6 3" xfId="10826" xr:uid="{F8B89A0E-DB88-4CFA-8D55-1A1000D0C5CA}"/>
    <cellStyle name="20% - Accent4 4 7" xfId="4536" xr:uid="{00000000-0005-0000-0000-00006D020000}"/>
    <cellStyle name="20% - Accent4 4 7 2" xfId="12978" xr:uid="{5B2B47BF-5BDC-4810-8725-BAA560CEB8D6}"/>
    <cellStyle name="20% - Accent4 4 8" xfId="8760" xr:uid="{70A0007D-D9A1-4395-ABF8-382EEBC4193E}"/>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2C3C8DBF-9C8C-40BC-B31D-7DCDB05E187F}"/>
    <cellStyle name="20% - Accent4 5 2 3" xfId="11312" xr:uid="{5D1F8E53-D966-452E-8E5F-7AE7F4470ED8}"/>
    <cellStyle name="20% - Accent4 5 3" xfId="4943" xr:uid="{00000000-0005-0000-0000-000071020000}"/>
    <cellStyle name="20% - Accent4 5 3 2" xfId="13385" xr:uid="{B0EAD33A-E42E-436A-8215-F535A5295B0A}"/>
    <cellStyle name="20% - Accent4 5 4" xfId="9167" xr:uid="{5A3CDDCB-4221-42B1-B093-B34AA6C4EABF}"/>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2AC25B66-29CB-45EC-827E-7CBDFB631ECB}"/>
    <cellStyle name="20% - Accent4 6 2 3" xfId="11725" xr:uid="{05764201-9DC1-4069-AE13-117B8AB5A4FB}"/>
    <cellStyle name="20% - Accent4 6 3" xfId="5356" xr:uid="{00000000-0005-0000-0000-000075020000}"/>
    <cellStyle name="20% - Accent4 6 3 2" xfId="13798" xr:uid="{0242E2A7-1392-4A9E-8701-AB76125F5066}"/>
    <cellStyle name="20% - Accent4 6 4" xfId="9580" xr:uid="{9C6AEABF-0EB9-4D68-A5BA-2FAFDDBF17D9}"/>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EF459A70-73B2-4B35-A6D0-46A0B8A12868}"/>
    <cellStyle name="20% - Accent4 7 2 3" xfId="12138" xr:uid="{A829F3E9-4E74-4469-87A1-6A421394D6BC}"/>
    <cellStyle name="20% - Accent4 7 3" xfId="5769" xr:uid="{00000000-0005-0000-0000-000079020000}"/>
    <cellStyle name="20% - Accent4 7 3 2" xfId="14211" xr:uid="{2945E424-4F1E-4D5F-B2B0-FC8CBA7C2DE3}"/>
    <cellStyle name="20% - Accent4 7 4" xfId="9993" xr:uid="{A8EE90F6-B6E5-4879-B7FD-CF6FA82EC5D3}"/>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972C153B-2A53-4947-9416-4FB58E166089}"/>
    <cellStyle name="20% - Accent4 8 2 3" xfId="12551" xr:uid="{EEF1596D-8432-4B51-AB68-372B03A9E846}"/>
    <cellStyle name="20% - Accent4 8 3" xfId="6182" xr:uid="{00000000-0005-0000-0000-00007D020000}"/>
    <cellStyle name="20% - Accent4 8 3 2" xfId="14624" xr:uid="{2F9DEFA8-4D50-41EF-AE5C-F5B1F9CD9982}"/>
    <cellStyle name="20% - Accent4 8 4" xfId="10406" xr:uid="{468ADBB8-A709-4504-B1D6-C28ACBAB8B34}"/>
    <cellStyle name="20% - Accent4 9" xfId="2288" xr:uid="{00000000-0005-0000-0000-00007E020000}"/>
    <cellStyle name="20% - Accent4 9 2" xfId="6595" xr:uid="{00000000-0005-0000-0000-00007F020000}"/>
    <cellStyle name="20% - Accent4 9 2 2" xfId="15037" xr:uid="{C01D4909-82F7-44AA-B6A9-BFBD693959E0}"/>
    <cellStyle name="20% - Accent4 9 3" xfId="10819" xr:uid="{F8069A72-F58E-4EE3-A745-A750766B4AFC}"/>
    <cellStyle name="20% - Accent5" xfId="33" builtinId="46" customBuiltin="1"/>
    <cellStyle name="20% - Accent5 10" xfId="4537" xr:uid="{00000000-0005-0000-0000-000081020000}"/>
    <cellStyle name="20% - Accent5 10 2" xfId="12979" xr:uid="{D8665485-FB89-4EEE-9173-48002554AE36}"/>
    <cellStyle name="20% - Accent5 11" xfId="8761" xr:uid="{D4A9136F-0691-4136-91FB-24A6441F503F}"/>
    <cellStyle name="20% - Accent5 2" xfId="34" xr:uid="{00000000-0005-0000-0000-000082020000}"/>
    <cellStyle name="20% - Accent5 2 10" xfId="8762" xr:uid="{4C67E751-2030-4CB9-A04A-586347079722}"/>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AE53956A-75BC-49FF-958E-2FD94F2DEF21}"/>
    <cellStyle name="20% - Accent5 2 2 2 2 2 3" xfId="11323" xr:uid="{FA7E5C23-4420-4B6F-B4BE-D84C26DDE463}"/>
    <cellStyle name="20% - Accent5 2 2 2 2 3" xfId="4954" xr:uid="{00000000-0005-0000-0000-000088020000}"/>
    <cellStyle name="20% - Accent5 2 2 2 2 3 2" xfId="13396" xr:uid="{32ED2FC9-BF55-45AC-97C0-E35FAA530763}"/>
    <cellStyle name="20% - Accent5 2 2 2 2 4" xfId="9178" xr:uid="{D2423F53-F61D-4321-919B-D4A6D58237B3}"/>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8E86FB6F-2DF4-46C8-904E-FB2BD0CD9922}"/>
    <cellStyle name="20% - Accent5 2 2 2 3 2 3" xfId="11736" xr:uid="{939B62A7-9A8F-47F5-B5CB-F1CD1C3DEF03}"/>
    <cellStyle name="20% - Accent5 2 2 2 3 3" xfId="5367" xr:uid="{00000000-0005-0000-0000-00008C020000}"/>
    <cellStyle name="20% - Accent5 2 2 2 3 3 2" xfId="13809" xr:uid="{5F922D15-C317-4C36-86E1-468ACE26A3F9}"/>
    <cellStyle name="20% - Accent5 2 2 2 3 4" xfId="9591" xr:uid="{284207B8-E3FC-4E63-9DC0-01877F0FAF7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2E6BC720-2F4F-409D-9A36-F4E02507B61A}"/>
    <cellStyle name="20% - Accent5 2 2 2 4 2 3" xfId="12149" xr:uid="{6074A5B5-A4BC-4018-AB56-6DC9F5C6FA18}"/>
    <cellStyle name="20% - Accent5 2 2 2 4 3" xfId="5780" xr:uid="{00000000-0005-0000-0000-000090020000}"/>
    <cellStyle name="20% - Accent5 2 2 2 4 3 2" xfId="14222" xr:uid="{CE8E9944-6C98-49F4-BFBB-C4BCDF85EF19}"/>
    <cellStyle name="20% - Accent5 2 2 2 4 4" xfId="10004" xr:uid="{2768DA9C-A585-4C36-9D4C-84C8DFE33713}"/>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30176625-D128-4950-A266-E790543B63EB}"/>
    <cellStyle name="20% - Accent5 2 2 2 5 2 3" xfId="12562" xr:uid="{43D7F177-14B9-4AAD-93F5-B225FF61C1F1}"/>
    <cellStyle name="20% - Accent5 2 2 2 5 3" xfId="6193" xr:uid="{00000000-0005-0000-0000-000094020000}"/>
    <cellStyle name="20% - Accent5 2 2 2 5 3 2" xfId="14635" xr:uid="{9A8B7F60-6C0C-471A-BCBC-A8F77BB90A3E}"/>
    <cellStyle name="20% - Accent5 2 2 2 5 4" xfId="10417" xr:uid="{B829D417-3266-41EA-981D-C772EE8801E3}"/>
    <cellStyle name="20% - Accent5 2 2 2 6" xfId="2299" xr:uid="{00000000-0005-0000-0000-000095020000}"/>
    <cellStyle name="20% - Accent5 2 2 2 6 2" xfId="6606" xr:uid="{00000000-0005-0000-0000-000096020000}"/>
    <cellStyle name="20% - Accent5 2 2 2 6 2 2" xfId="15048" xr:uid="{A4B234EB-C517-42AF-AE9D-01F0AE9E2936}"/>
    <cellStyle name="20% - Accent5 2 2 2 6 3" xfId="10830" xr:uid="{99DE106D-A01A-4039-9902-2EFB3DFED29B}"/>
    <cellStyle name="20% - Accent5 2 2 2 7" xfId="4540" xr:uid="{00000000-0005-0000-0000-000097020000}"/>
    <cellStyle name="20% - Accent5 2 2 2 7 2" xfId="12982" xr:uid="{B44741A4-69DC-415F-9CE1-D521E81D85DF}"/>
    <cellStyle name="20% - Accent5 2 2 2 8" xfId="8764" xr:uid="{316F7C11-8C62-4842-931D-239C512A957C}"/>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E5B09FA1-77DB-4C14-AAA1-3D74DB940BD7}"/>
    <cellStyle name="20% - Accent5 2 2 3 2 3" xfId="11322" xr:uid="{243BA5A9-E2AE-40B8-9A72-2F32E5202A3B}"/>
    <cellStyle name="20% - Accent5 2 2 3 3" xfId="4953" xr:uid="{00000000-0005-0000-0000-00009B020000}"/>
    <cellStyle name="20% - Accent5 2 2 3 3 2" xfId="13395" xr:uid="{B0912C7A-9D40-4005-A7E3-93C31E26478D}"/>
    <cellStyle name="20% - Accent5 2 2 3 4" xfId="9177" xr:uid="{C3A88093-6172-4EBF-BFEA-7AAAAF27B2FB}"/>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301049EF-D5C0-4EDA-8D3B-B7A8B6164F32}"/>
    <cellStyle name="20% - Accent5 2 2 4 2 3" xfId="11735" xr:uid="{EBA11792-3C9F-4DD0-877E-8D319CA76C22}"/>
    <cellStyle name="20% - Accent5 2 2 4 3" xfId="5366" xr:uid="{00000000-0005-0000-0000-00009F020000}"/>
    <cellStyle name="20% - Accent5 2 2 4 3 2" xfId="13808" xr:uid="{01CF1C91-FE3D-433B-8EC2-0D0ECC712E37}"/>
    <cellStyle name="20% - Accent5 2 2 4 4" xfId="9590" xr:uid="{9F85A12C-3AD2-447F-9B97-03F9070F09F4}"/>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FE3301EE-AB13-4495-8749-60ABDFB8BBF9}"/>
    <cellStyle name="20% - Accent5 2 2 5 2 3" xfId="12148" xr:uid="{D63121A4-8EA3-46D4-B9A5-43635492BF84}"/>
    <cellStyle name="20% - Accent5 2 2 5 3" xfId="5779" xr:uid="{00000000-0005-0000-0000-0000A3020000}"/>
    <cellStyle name="20% - Accent5 2 2 5 3 2" xfId="14221" xr:uid="{CA08109C-B4C2-4E03-A13A-64D55E580312}"/>
    <cellStyle name="20% - Accent5 2 2 5 4" xfId="10003" xr:uid="{C555C7EA-EF58-47B5-A7FD-D58F3D4DEBF4}"/>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6F39BD99-C90D-41D8-AC46-0D6C4E9E1161}"/>
    <cellStyle name="20% - Accent5 2 2 6 2 3" xfId="12561" xr:uid="{6C16144A-51FF-4457-9DF9-D5516328259C}"/>
    <cellStyle name="20% - Accent5 2 2 6 3" xfId="6192" xr:uid="{00000000-0005-0000-0000-0000A7020000}"/>
    <cellStyle name="20% - Accent5 2 2 6 3 2" xfId="14634" xr:uid="{ED3F961F-1783-4BA8-8A43-5584A1A0C485}"/>
    <cellStyle name="20% - Accent5 2 2 6 4" xfId="10416" xr:uid="{712D447E-D3E8-4C7C-BA50-E88BFFE2260B}"/>
    <cellStyle name="20% - Accent5 2 2 7" xfId="2298" xr:uid="{00000000-0005-0000-0000-0000A8020000}"/>
    <cellStyle name="20% - Accent5 2 2 7 2" xfId="6605" xr:uid="{00000000-0005-0000-0000-0000A9020000}"/>
    <cellStyle name="20% - Accent5 2 2 7 2 2" xfId="15047" xr:uid="{BEA71D60-1C42-4D1C-B34F-9D99E026DFF4}"/>
    <cellStyle name="20% - Accent5 2 2 7 3" xfId="10829" xr:uid="{FEF47E9A-F267-4D04-BABE-11C5B77C792A}"/>
    <cellStyle name="20% - Accent5 2 2 8" xfId="4539" xr:uid="{00000000-0005-0000-0000-0000AA020000}"/>
    <cellStyle name="20% - Accent5 2 2 8 2" xfId="12981" xr:uid="{12ACBF61-8A59-4DD1-9ACD-780CC7030192}"/>
    <cellStyle name="20% - Accent5 2 2 9" xfId="8763" xr:uid="{84CC377E-2343-4286-8729-68C10D03C199}"/>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9EC53CBD-0DC9-4EF0-AB66-11032512E883}"/>
    <cellStyle name="20% - Accent5 2 3 2 2 3" xfId="11324" xr:uid="{091CAA36-69CF-48CD-A5DC-6F4FCB9196FF}"/>
    <cellStyle name="20% - Accent5 2 3 2 3" xfId="4955" xr:uid="{00000000-0005-0000-0000-0000AF020000}"/>
    <cellStyle name="20% - Accent5 2 3 2 3 2" xfId="13397" xr:uid="{1C4C9E55-6EE8-4B28-9DB7-F15D029CBC03}"/>
    <cellStyle name="20% - Accent5 2 3 2 4" xfId="9179" xr:uid="{0850BC73-C271-4FF3-9776-878450141422}"/>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8FFFA6A2-5114-47E8-9E76-1A99F714BCCD}"/>
    <cellStyle name="20% - Accent5 2 3 3 2 3" xfId="11737" xr:uid="{68C18287-FB5C-4FB6-823F-3F6332C3862D}"/>
    <cellStyle name="20% - Accent5 2 3 3 3" xfId="5368" xr:uid="{00000000-0005-0000-0000-0000B3020000}"/>
    <cellStyle name="20% - Accent5 2 3 3 3 2" xfId="13810" xr:uid="{A99C8F30-D3B0-4A96-B33E-2AF77A09F465}"/>
    <cellStyle name="20% - Accent5 2 3 3 4" xfId="9592" xr:uid="{56EEEACB-53D0-4D29-80EB-B3A7DD6FDF21}"/>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670DCEBB-00BA-409D-8BCA-0F37B4A8EFA5}"/>
    <cellStyle name="20% - Accent5 2 3 4 2 3" xfId="12150" xr:uid="{76CD55E4-DD1A-4C7C-A25C-FC04CDD109BD}"/>
    <cellStyle name="20% - Accent5 2 3 4 3" xfId="5781" xr:uid="{00000000-0005-0000-0000-0000B7020000}"/>
    <cellStyle name="20% - Accent5 2 3 4 3 2" xfId="14223" xr:uid="{545B47A7-8B18-4049-B9E0-9269127EE8F5}"/>
    <cellStyle name="20% - Accent5 2 3 4 4" xfId="10005" xr:uid="{6D13098C-D6CC-4C68-AFCE-E9549ED8010A}"/>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FA0725E5-6155-4465-A5FF-3460AF3D831D}"/>
    <cellStyle name="20% - Accent5 2 3 5 2 3" xfId="12563" xr:uid="{35688A5D-1CDB-410B-984E-381F64AA5CA4}"/>
    <cellStyle name="20% - Accent5 2 3 5 3" xfId="6194" xr:uid="{00000000-0005-0000-0000-0000BB020000}"/>
    <cellStyle name="20% - Accent5 2 3 5 3 2" xfId="14636" xr:uid="{6F01E2F8-DE84-4F41-B994-AB99AE8C22AE}"/>
    <cellStyle name="20% - Accent5 2 3 5 4" xfId="10418" xr:uid="{27AD739A-85C9-4265-989E-C54E75E41714}"/>
    <cellStyle name="20% - Accent5 2 3 6" xfId="2300" xr:uid="{00000000-0005-0000-0000-0000BC020000}"/>
    <cellStyle name="20% - Accent5 2 3 6 2" xfId="6607" xr:uid="{00000000-0005-0000-0000-0000BD020000}"/>
    <cellStyle name="20% - Accent5 2 3 6 2 2" xfId="15049" xr:uid="{828A63F6-8953-424A-A8AB-43A91CA6E2BD}"/>
    <cellStyle name="20% - Accent5 2 3 6 3" xfId="10831" xr:uid="{CF06B8C5-8913-4636-A97C-5EB15EBB9A97}"/>
    <cellStyle name="20% - Accent5 2 3 7" xfId="4541" xr:uid="{00000000-0005-0000-0000-0000BE020000}"/>
    <cellStyle name="20% - Accent5 2 3 7 2" xfId="12983" xr:uid="{5249A23E-97BF-4D42-A5F4-60FE3C74504A}"/>
    <cellStyle name="20% - Accent5 2 3 8" xfId="8765" xr:uid="{98CBB5A6-A40F-4AD2-B151-3505A93490CC}"/>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741133E4-AA0F-4EA7-9105-2CCFE45CDDC2}"/>
    <cellStyle name="20% - Accent5 2 4 2 3" xfId="11321" xr:uid="{A33C663F-284A-4CDF-804B-429C73D2852E}"/>
    <cellStyle name="20% - Accent5 2 4 3" xfId="4952" xr:uid="{00000000-0005-0000-0000-0000C2020000}"/>
    <cellStyle name="20% - Accent5 2 4 3 2" xfId="13394" xr:uid="{21F23BE9-78DA-403D-9925-1BCDAB30901F}"/>
    <cellStyle name="20% - Accent5 2 4 4" xfId="9176" xr:uid="{4E55A853-0DF8-4172-B867-5A4859E798B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75476A1F-1C87-463A-9C7F-BC1F0E4AB91A}"/>
    <cellStyle name="20% - Accent5 2 5 2 3" xfId="11734" xr:uid="{DDCBD101-5C92-4D70-99B2-A602F3FFC02E}"/>
    <cellStyle name="20% - Accent5 2 5 3" xfId="5365" xr:uid="{00000000-0005-0000-0000-0000C6020000}"/>
    <cellStyle name="20% - Accent5 2 5 3 2" xfId="13807" xr:uid="{4A2F9222-6EF2-4470-A4EC-9AC7BA6C4E00}"/>
    <cellStyle name="20% - Accent5 2 5 4" xfId="9589" xr:uid="{1D11C4D6-9266-4150-A21C-0DCCFAA9B094}"/>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8D90E31A-CE37-441D-B117-8EA3FA552CB5}"/>
    <cellStyle name="20% - Accent5 2 6 2 3" xfId="12147" xr:uid="{D62B6A5D-D3AC-4413-99E6-A8606B2BF2C5}"/>
    <cellStyle name="20% - Accent5 2 6 3" xfId="5778" xr:uid="{00000000-0005-0000-0000-0000CA020000}"/>
    <cellStyle name="20% - Accent5 2 6 3 2" xfId="14220" xr:uid="{3CB719A3-3FB0-4DFA-9F4C-34C580817D09}"/>
    <cellStyle name="20% - Accent5 2 6 4" xfId="10002" xr:uid="{3C79C2B9-7C0B-49CB-9488-1C18539D914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7C4A3133-77CD-4B65-9544-4E91AA0C8D91}"/>
    <cellStyle name="20% - Accent5 2 7 2 3" xfId="12560" xr:uid="{B4451F1C-E161-4D43-A253-A78E3006094B}"/>
    <cellStyle name="20% - Accent5 2 7 3" xfId="6191" xr:uid="{00000000-0005-0000-0000-0000CE020000}"/>
    <cellStyle name="20% - Accent5 2 7 3 2" xfId="14633" xr:uid="{5F44D0CB-4050-4E7E-91BA-B074CF29C957}"/>
    <cellStyle name="20% - Accent5 2 7 4" xfId="10415" xr:uid="{392CB858-D5DC-43C0-BF16-9A90730304A9}"/>
    <cellStyle name="20% - Accent5 2 8" xfId="2297" xr:uid="{00000000-0005-0000-0000-0000CF020000}"/>
    <cellStyle name="20% - Accent5 2 8 2" xfId="6604" xr:uid="{00000000-0005-0000-0000-0000D0020000}"/>
    <cellStyle name="20% - Accent5 2 8 2 2" xfId="15046" xr:uid="{7316C8AF-272A-47AD-9272-A78ED32471CE}"/>
    <cellStyle name="20% - Accent5 2 8 3" xfId="10828" xr:uid="{D38A51A2-B971-4E41-97FE-BD8968046308}"/>
    <cellStyle name="20% - Accent5 2 9" xfId="4538" xr:uid="{00000000-0005-0000-0000-0000D1020000}"/>
    <cellStyle name="20% - Accent5 2 9 2" xfId="12980" xr:uid="{F3C5D91F-CB66-43DA-A6EC-F3B17F34CA57}"/>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1C3303A9-5A9B-411F-AAC3-AAEFA174445B}"/>
    <cellStyle name="20% - Accent5 3 2 2 2 3" xfId="11326" xr:uid="{5F0E109E-B188-4225-9F12-85BCE68B3C40}"/>
    <cellStyle name="20% - Accent5 3 2 2 3" xfId="4957" xr:uid="{00000000-0005-0000-0000-0000D7020000}"/>
    <cellStyle name="20% - Accent5 3 2 2 3 2" xfId="13399" xr:uid="{EBDDC292-2EFA-4C59-A8CE-D39744D04947}"/>
    <cellStyle name="20% - Accent5 3 2 2 4" xfId="9181" xr:uid="{8FA6A2A8-B811-4DDD-82AD-5E6D78145116}"/>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28534EB-611B-48EF-ABC7-511949FE6243}"/>
    <cellStyle name="20% - Accent5 3 2 3 2 3" xfId="11739" xr:uid="{E7C64CB9-ED25-4B57-8495-9AF04F2C4AC3}"/>
    <cellStyle name="20% - Accent5 3 2 3 3" xfId="5370" xr:uid="{00000000-0005-0000-0000-0000DB020000}"/>
    <cellStyle name="20% - Accent5 3 2 3 3 2" xfId="13812" xr:uid="{C93EA8CB-98C8-4DE9-81D0-96A4C9282E46}"/>
    <cellStyle name="20% - Accent5 3 2 3 4" xfId="9594" xr:uid="{74254032-F441-4AEF-8C85-FB346CC76264}"/>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FF1F7788-F233-42C5-ADB0-DD6B87621DD3}"/>
    <cellStyle name="20% - Accent5 3 2 4 2 3" xfId="12152" xr:uid="{EB01F548-CD04-4909-8FC4-99B3CD1E8FED}"/>
    <cellStyle name="20% - Accent5 3 2 4 3" xfId="5783" xr:uid="{00000000-0005-0000-0000-0000DF020000}"/>
    <cellStyle name="20% - Accent5 3 2 4 3 2" xfId="14225" xr:uid="{805C08FB-0147-465D-942B-7227D4EB4841}"/>
    <cellStyle name="20% - Accent5 3 2 4 4" xfId="10007" xr:uid="{943BE219-7E7C-4842-84AF-1D705FC244A6}"/>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F499B091-DF4B-413D-8D11-FA01E8490205}"/>
    <cellStyle name="20% - Accent5 3 2 5 2 3" xfId="12565" xr:uid="{7407FDD5-F1BB-48BE-9DAE-149D71E51A0D}"/>
    <cellStyle name="20% - Accent5 3 2 5 3" xfId="6196" xr:uid="{00000000-0005-0000-0000-0000E3020000}"/>
    <cellStyle name="20% - Accent5 3 2 5 3 2" xfId="14638" xr:uid="{B480C3B9-C8E8-48BC-99AD-4FEE101240FE}"/>
    <cellStyle name="20% - Accent5 3 2 5 4" xfId="10420" xr:uid="{9FDB35E2-E7CA-4575-AAA3-50B7D4BB704A}"/>
    <cellStyle name="20% - Accent5 3 2 6" xfId="2302" xr:uid="{00000000-0005-0000-0000-0000E4020000}"/>
    <cellStyle name="20% - Accent5 3 2 6 2" xfId="6609" xr:uid="{00000000-0005-0000-0000-0000E5020000}"/>
    <cellStyle name="20% - Accent5 3 2 6 2 2" xfId="15051" xr:uid="{E7B2D3F0-6008-461A-A260-C0C8C5CABBFC}"/>
    <cellStyle name="20% - Accent5 3 2 6 3" xfId="10833" xr:uid="{2B5020E8-42FF-42BF-B416-6E3AF252EA7F}"/>
    <cellStyle name="20% - Accent5 3 2 7" xfId="4543" xr:uid="{00000000-0005-0000-0000-0000E6020000}"/>
    <cellStyle name="20% - Accent5 3 2 7 2" xfId="12985" xr:uid="{3980E53E-4CC7-419F-9FF7-833C91F3D504}"/>
    <cellStyle name="20% - Accent5 3 2 8" xfId="8767" xr:uid="{3BAD3582-4AE8-4B28-885E-916427B24C96}"/>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359ECC21-6DDE-420B-AD87-B401CCF3C9C5}"/>
    <cellStyle name="20% - Accent5 3 3 2 3" xfId="11325" xr:uid="{004B7867-C5C4-4149-A4EA-F2D512607882}"/>
    <cellStyle name="20% - Accent5 3 3 3" xfId="4956" xr:uid="{00000000-0005-0000-0000-0000EA020000}"/>
    <cellStyle name="20% - Accent5 3 3 3 2" xfId="13398" xr:uid="{25607FB6-751B-488F-9571-9E18EBCD9EFE}"/>
    <cellStyle name="20% - Accent5 3 3 4" xfId="9180" xr:uid="{B14AFF7B-57E8-470D-AFD9-362DEB6FD68F}"/>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A5FB74B8-D906-4221-BECD-2FBA5A02E4DD}"/>
    <cellStyle name="20% - Accent5 3 4 2 3" xfId="11738" xr:uid="{B1B669FF-B19F-4156-9E7B-E3D62DB053FC}"/>
    <cellStyle name="20% - Accent5 3 4 3" xfId="5369" xr:uid="{00000000-0005-0000-0000-0000EE020000}"/>
    <cellStyle name="20% - Accent5 3 4 3 2" xfId="13811" xr:uid="{60868849-9C26-4450-B7E1-BBB0DE3D55F6}"/>
    <cellStyle name="20% - Accent5 3 4 4" xfId="9593" xr:uid="{5502D7A6-E1A2-4DE6-AD40-FF83A1FC4CC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77E4410A-6525-427D-90EA-D63857CA4C2C}"/>
    <cellStyle name="20% - Accent5 3 5 2 3" xfId="12151" xr:uid="{81B730B9-8561-47C9-9396-E31A48999E9D}"/>
    <cellStyle name="20% - Accent5 3 5 3" xfId="5782" xr:uid="{00000000-0005-0000-0000-0000F2020000}"/>
    <cellStyle name="20% - Accent5 3 5 3 2" xfId="14224" xr:uid="{27C3E8C3-AE2B-4213-9B83-211A504237D9}"/>
    <cellStyle name="20% - Accent5 3 5 4" xfId="10006" xr:uid="{7DAA230C-3972-4734-BFE7-9801E37EBB2F}"/>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DD8761E8-D854-400E-8ECF-5481BFBFC1FB}"/>
    <cellStyle name="20% - Accent5 3 6 2 3" xfId="12564" xr:uid="{0B8DABC0-9590-4DEB-A6A2-C59878E5CEB0}"/>
    <cellStyle name="20% - Accent5 3 6 3" xfId="6195" xr:uid="{00000000-0005-0000-0000-0000F6020000}"/>
    <cellStyle name="20% - Accent5 3 6 3 2" xfId="14637" xr:uid="{4B1608A8-93F3-4DBF-AE7D-ED86A0C38FA5}"/>
    <cellStyle name="20% - Accent5 3 6 4" xfId="10419" xr:uid="{C3D7154E-E3D4-463E-BC38-D5E473E9E871}"/>
    <cellStyle name="20% - Accent5 3 7" xfId="2301" xr:uid="{00000000-0005-0000-0000-0000F7020000}"/>
    <cellStyle name="20% - Accent5 3 7 2" xfId="6608" xr:uid="{00000000-0005-0000-0000-0000F8020000}"/>
    <cellStyle name="20% - Accent5 3 7 2 2" xfId="15050" xr:uid="{CED70FE7-8201-43C1-B890-8A00F2370DFA}"/>
    <cellStyle name="20% - Accent5 3 7 3" xfId="10832" xr:uid="{A825605D-81FA-4742-9A26-9A005282C9B5}"/>
    <cellStyle name="20% - Accent5 3 8" xfId="4542" xr:uid="{00000000-0005-0000-0000-0000F9020000}"/>
    <cellStyle name="20% - Accent5 3 8 2" xfId="12984" xr:uid="{14D2F49B-1853-4A12-B665-AB54469308FF}"/>
    <cellStyle name="20% - Accent5 3 9" xfId="8766" xr:uid="{2D88593F-DA33-40AF-904D-08A398CF8EBC}"/>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CA8A9B2-5A70-4600-9269-DF46FD15487C}"/>
    <cellStyle name="20% - Accent5 4 2 2 3" xfId="11327" xr:uid="{E4DD2472-F899-4935-ABAA-DD929C48AA7B}"/>
    <cellStyle name="20% - Accent5 4 2 3" xfId="4958" xr:uid="{00000000-0005-0000-0000-0000FE020000}"/>
    <cellStyle name="20% - Accent5 4 2 3 2" xfId="13400" xr:uid="{B33432A3-9959-43EE-9C58-76885A8B43DB}"/>
    <cellStyle name="20% - Accent5 4 2 4" xfId="9182" xr:uid="{652C42F1-7969-4ECD-B428-E77169F10A0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131B572D-02D2-4D7D-B47F-6AAE4E842F75}"/>
    <cellStyle name="20% - Accent5 4 3 2 3" xfId="11740" xr:uid="{FDD0472B-70D2-4207-9F69-79C94BC21BF3}"/>
    <cellStyle name="20% - Accent5 4 3 3" xfId="5371" xr:uid="{00000000-0005-0000-0000-000002030000}"/>
    <cellStyle name="20% - Accent5 4 3 3 2" xfId="13813" xr:uid="{3F7D5B0E-FAD2-47F2-BC88-B4989015475C}"/>
    <cellStyle name="20% - Accent5 4 3 4" xfId="9595" xr:uid="{A345F2BB-10AC-45E5-9F46-40F16B6CA47B}"/>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B970470F-BD9A-40AD-9D20-C03C8CB43416}"/>
    <cellStyle name="20% - Accent5 4 4 2 3" xfId="12153" xr:uid="{456EC40E-8624-42BA-9D28-C77B79A543BB}"/>
    <cellStyle name="20% - Accent5 4 4 3" xfId="5784" xr:uid="{00000000-0005-0000-0000-000006030000}"/>
    <cellStyle name="20% - Accent5 4 4 3 2" xfId="14226" xr:uid="{F8036E3B-8ACE-4E7F-882F-358B43EC06CB}"/>
    <cellStyle name="20% - Accent5 4 4 4" xfId="10008" xr:uid="{700CC45F-7813-4887-9E0F-AF1534DD33FA}"/>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A00F0E78-94B8-42EE-AAC6-3A07EA558A79}"/>
    <cellStyle name="20% - Accent5 4 5 2 3" xfId="12566" xr:uid="{C1732854-5862-4397-97E6-37F943DCEEF9}"/>
    <cellStyle name="20% - Accent5 4 5 3" xfId="6197" xr:uid="{00000000-0005-0000-0000-00000A030000}"/>
    <cellStyle name="20% - Accent5 4 5 3 2" xfId="14639" xr:uid="{88509D8B-E95B-4D7A-ACBE-C333AC3A4D63}"/>
    <cellStyle name="20% - Accent5 4 5 4" xfId="10421" xr:uid="{0F36EED0-A517-46E9-A62C-9BA003B64FC8}"/>
    <cellStyle name="20% - Accent5 4 6" xfId="2303" xr:uid="{00000000-0005-0000-0000-00000B030000}"/>
    <cellStyle name="20% - Accent5 4 6 2" xfId="6610" xr:uid="{00000000-0005-0000-0000-00000C030000}"/>
    <cellStyle name="20% - Accent5 4 6 2 2" xfId="15052" xr:uid="{5BB45B35-D460-4795-A917-941111E5D34D}"/>
    <cellStyle name="20% - Accent5 4 6 3" xfId="10834" xr:uid="{542FF609-C340-4575-90B9-D0F33D1C8AA0}"/>
    <cellStyle name="20% - Accent5 4 7" xfId="4544" xr:uid="{00000000-0005-0000-0000-00000D030000}"/>
    <cellStyle name="20% - Accent5 4 7 2" xfId="12986" xr:uid="{4D4EA1AC-40E5-42C8-8216-0BE4476A8156}"/>
    <cellStyle name="20% - Accent5 4 8" xfId="8768" xr:uid="{A6096ABA-C814-4191-A35E-9898EBBE7851}"/>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00BFD90B-3BA5-47AC-9D3F-98142D1C1267}"/>
    <cellStyle name="20% - Accent5 5 2 3" xfId="11320" xr:uid="{AC093C41-F022-4CB8-85DD-37D35ED52EC5}"/>
    <cellStyle name="20% - Accent5 5 3" xfId="4951" xr:uid="{00000000-0005-0000-0000-000011030000}"/>
    <cellStyle name="20% - Accent5 5 3 2" xfId="13393" xr:uid="{3BB0A1A2-134E-41B5-B84C-42BF9C2120C7}"/>
    <cellStyle name="20% - Accent5 5 4" xfId="9175" xr:uid="{A9A51383-2613-46DC-87DE-78B97C50DCBA}"/>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A934ABCD-AA66-4DAA-BD7D-E0E8D646EF29}"/>
    <cellStyle name="20% - Accent5 6 2 3" xfId="11733" xr:uid="{666BB855-073F-48E1-B37D-5B3EE3376D1D}"/>
    <cellStyle name="20% - Accent5 6 3" xfId="5364" xr:uid="{00000000-0005-0000-0000-000015030000}"/>
    <cellStyle name="20% - Accent5 6 3 2" xfId="13806" xr:uid="{A4CCC891-EFE2-4ED1-9330-D21FA06D779E}"/>
    <cellStyle name="20% - Accent5 6 4" xfId="9588" xr:uid="{6FE70AA1-4C25-472B-A9E3-6699DD82C00A}"/>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4E70D334-DE0B-43B5-9D2F-10E1571A9490}"/>
    <cellStyle name="20% - Accent5 7 2 3" xfId="12146" xr:uid="{A5223A1E-50C4-4FBF-8CB6-3111AAB2B3D9}"/>
    <cellStyle name="20% - Accent5 7 3" xfId="5777" xr:uid="{00000000-0005-0000-0000-000019030000}"/>
    <cellStyle name="20% - Accent5 7 3 2" xfId="14219" xr:uid="{C0228454-A3A0-4D04-A093-7C7519332D8A}"/>
    <cellStyle name="20% - Accent5 7 4" xfId="10001" xr:uid="{EBA065E6-8E14-4148-BCCA-A493AA83F05B}"/>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5095E6D-9A67-4D5F-8EAE-DA7DD5A32708}"/>
    <cellStyle name="20% - Accent5 8 2 3" xfId="12559" xr:uid="{4BF098FD-45B5-414F-8391-2E762B183A5D}"/>
    <cellStyle name="20% - Accent5 8 3" xfId="6190" xr:uid="{00000000-0005-0000-0000-00001D030000}"/>
    <cellStyle name="20% - Accent5 8 3 2" xfId="14632" xr:uid="{38EFBF17-6497-491D-B127-CDC5593F85D2}"/>
    <cellStyle name="20% - Accent5 8 4" xfId="10414" xr:uid="{464F4FC0-7700-4471-A4F0-771FAC7B4175}"/>
    <cellStyle name="20% - Accent5 9" xfId="2296" xr:uid="{00000000-0005-0000-0000-00001E030000}"/>
    <cellStyle name="20% - Accent5 9 2" xfId="6603" xr:uid="{00000000-0005-0000-0000-00001F030000}"/>
    <cellStyle name="20% - Accent5 9 2 2" xfId="15045" xr:uid="{AF4ED393-0229-42A9-9E2B-381714D43031}"/>
    <cellStyle name="20% - Accent5 9 3" xfId="10827" xr:uid="{38D41D0C-E76B-456F-8B90-9232AAF70DB9}"/>
    <cellStyle name="20% - Accent6" xfId="41" builtinId="50" customBuiltin="1"/>
    <cellStyle name="20% - Accent6 10" xfId="4545" xr:uid="{00000000-0005-0000-0000-000021030000}"/>
    <cellStyle name="20% - Accent6 10 2" xfId="12987" xr:uid="{8476E4FD-96EE-4C20-8102-119CE89F1A53}"/>
    <cellStyle name="20% - Accent6 11" xfId="8769" xr:uid="{21338A4A-7694-47D3-BB0F-8FD4EB8B6DC9}"/>
    <cellStyle name="20% - Accent6 2" xfId="42" xr:uid="{00000000-0005-0000-0000-000022030000}"/>
    <cellStyle name="20% - Accent6 2 10" xfId="8770" xr:uid="{CDC2A78B-C5ED-4249-8C31-20C992FE28A7}"/>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484BD141-EB03-43B6-9BF7-C2CD06EFE7FC}"/>
    <cellStyle name="20% - Accent6 2 2 2 2 2 3" xfId="11331" xr:uid="{C7BC5F19-8055-41A8-80AB-9956009A1D17}"/>
    <cellStyle name="20% - Accent6 2 2 2 2 3" xfId="4962" xr:uid="{00000000-0005-0000-0000-000028030000}"/>
    <cellStyle name="20% - Accent6 2 2 2 2 3 2" xfId="13404" xr:uid="{7AED3C87-248A-49D0-BC17-15F5080D5C39}"/>
    <cellStyle name="20% - Accent6 2 2 2 2 4" xfId="9186" xr:uid="{357A0866-AA86-4A43-9691-131FE7151DD2}"/>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2077B082-994B-4590-AADF-28465653E6B5}"/>
    <cellStyle name="20% - Accent6 2 2 2 3 2 3" xfId="11744" xr:uid="{03BDDA8D-415A-4C05-A257-02A9EDBD4327}"/>
    <cellStyle name="20% - Accent6 2 2 2 3 3" xfId="5375" xr:uid="{00000000-0005-0000-0000-00002C030000}"/>
    <cellStyle name="20% - Accent6 2 2 2 3 3 2" xfId="13817" xr:uid="{24492809-8ADC-4960-BE58-9F14E17E5A59}"/>
    <cellStyle name="20% - Accent6 2 2 2 3 4" xfId="9599" xr:uid="{C6673FCB-01A3-4C5A-B643-A18B9026539E}"/>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9225AF13-ACDC-40A8-8914-555CC59028B1}"/>
    <cellStyle name="20% - Accent6 2 2 2 4 2 3" xfId="12157" xr:uid="{12B21809-AD20-4EAA-AC8A-7E8895A6F356}"/>
    <cellStyle name="20% - Accent6 2 2 2 4 3" xfId="5788" xr:uid="{00000000-0005-0000-0000-000030030000}"/>
    <cellStyle name="20% - Accent6 2 2 2 4 3 2" xfId="14230" xr:uid="{23B6B72C-7836-48BA-963D-FBEEE0116CC0}"/>
    <cellStyle name="20% - Accent6 2 2 2 4 4" xfId="10012" xr:uid="{5FC13459-2851-43F4-B819-54BA79664287}"/>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C12F99F2-7B03-43AD-BB1B-46EEAB211BD6}"/>
    <cellStyle name="20% - Accent6 2 2 2 5 2 3" xfId="12570" xr:uid="{0444E8A4-1630-4F5E-A358-B1B253F5ABFC}"/>
    <cellStyle name="20% - Accent6 2 2 2 5 3" xfId="6201" xr:uid="{00000000-0005-0000-0000-000034030000}"/>
    <cellStyle name="20% - Accent6 2 2 2 5 3 2" xfId="14643" xr:uid="{9CABED1B-20A6-4ED9-B3FC-7B8D505063BA}"/>
    <cellStyle name="20% - Accent6 2 2 2 5 4" xfId="10425" xr:uid="{97C960E5-9E3A-440A-B500-C01282BEBD45}"/>
    <cellStyle name="20% - Accent6 2 2 2 6" xfId="2307" xr:uid="{00000000-0005-0000-0000-000035030000}"/>
    <cellStyle name="20% - Accent6 2 2 2 6 2" xfId="6614" xr:uid="{00000000-0005-0000-0000-000036030000}"/>
    <cellStyle name="20% - Accent6 2 2 2 6 2 2" xfId="15056" xr:uid="{101551A6-D185-46A2-B730-1A02DCF1092D}"/>
    <cellStyle name="20% - Accent6 2 2 2 6 3" xfId="10838" xr:uid="{8CB415DD-0927-42B2-AED6-4BD5CC50DBD9}"/>
    <cellStyle name="20% - Accent6 2 2 2 7" xfId="4548" xr:uid="{00000000-0005-0000-0000-000037030000}"/>
    <cellStyle name="20% - Accent6 2 2 2 7 2" xfId="12990" xr:uid="{4DA6FE8F-5EB1-4D51-92C4-AED03053184B}"/>
    <cellStyle name="20% - Accent6 2 2 2 8" xfId="8772" xr:uid="{EBD2B8A0-2831-4B51-B0BC-31F91429CD1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307D5ABB-0B42-4063-B9C5-8E7046483360}"/>
    <cellStyle name="20% - Accent6 2 2 3 2 3" xfId="11330" xr:uid="{A30760B6-5085-4D20-BF6B-F468BF7C8CD4}"/>
    <cellStyle name="20% - Accent6 2 2 3 3" xfId="4961" xr:uid="{00000000-0005-0000-0000-00003B030000}"/>
    <cellStyle name="20% - Accent6 2 2 3 3 2" xfId="13403" xr:uid="{E430847A-B428-4744-A87B-FCF2C6F13EB5}"/>
    <cellStyle name="20% - Accent6 2 2 3 4" xfId="9185" xr:uid="{41367D5B-5E75-4FA4-92E9-2EF927B3CF24}"/>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4F01FB5B-8234-4F94-AEB0-0C6C8D27A65D}"/>
    <cellStyle name="20% - Accent6 2 2 4 2 3" xfId="11743" xr:uid="{740EB42C-68C2-4BA0-A13B-C04A0BEFD3C0}"/>
    <cellStyle name="20% - Accent6 2 2 4 3" xfId="5374" xr:uid="{00000000-0005-0000-0000-00003F030000}"/>
    <cellStyle name="20% - Accent6 2 2 4 3 2" xfId="13816" xr:uid="{16EE507F-A4F4-48B2-B007-F9ED8DB3ABD3}"/>
    <cellStyle name="20% - Accent6 2 2 4 4" xfId="9598" xr:uid="{802B9F49-3B7B-48D6-A8EE-F432A9DF4697}"/>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3C5E8F40-B00D-4BFE-83E6-A2102216DEC7}"/>
    <cellStyle name="20% - Accent6 2 2 5 2 3" xfId="12156" xr:uid="{364824EE-2C6C-45AA-864A-85978AD0AC77}"/>
    <cellStyle name="20% - Accent6 2 2 5 3" xfId="5787" xr:uid="{00000000-0005-0000-0000-000043030000}"/>
    <cellStyle name="20% - Accent6 2 2 5 3 2" xfId="14229" xr:uid="{B96B8D85-6351-46AA-AE46-15897CD295E0}"/>
    <cellStyle name="20% - Accent6 2 2 5 4" xfId="10011" xr:uid="{9319E3B7-35F9-4418-AF66-1656EE53E922}"/>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24B7C05F-4B31-4E5C-8786-1AA00D4D43ED}"/>
    <cellStyle name="20% - Accent6 2 2 6 2 3" xfId="12569" xr:uid="{83935835-4B6A-4CE6-828B-70FAE2015280}"/>
    <cellStyle name="20% - Accent6 2 2 6 3" xfId="6200" xr:uid="{00000000-0005-0000-0000-000047030000}"/>
    <cellStyle name="20% - Accent6 2 2 6 3 2" xfId="14642" xr:uid="{13B739DE-EDA7-4EDA-8C4C-4BFDE6865B27}"/>
    <cellStyle name="20% - Accent6 2 2 6 4" xfId="10424" xr:uid="{E86E496A-F031-495E-931E-5CF3281FCB59}"/>
    <cellStyle name="20% - Accent6 2 2 7" xfId="2306" xr:uid="{00000000-0005-0000-0000-000048030000}"/>
    <cellStyle name="20% - Accent6 2 2 7 2" xfId="6613" xr:uid="{00000000-0005-0000-0000-000049030000}"/>
    <cellStyle name="20% - Accent6 2 2 7 2 2" xfId="15055" xr:uid="{402EA94A-9F66-445F-AEA3-095BE47186C2}"/>
    <cellStyle name="20% - Accent6 2 2 7 3" xfId="10837" xr:uid="{8A8E5D16-1015-4A0D-BBAA-42FBA9DB2C5D}"/>
    <cellStyle name="20% - Accent6 2 2 8" xfId="4547" xr:uid="{00000000-0005-0000-0000-00004A030000}"/>
    <cellStyle name="20% - Accent6 2 2 8 2" xfId="12989" xr:uid="{1F115A40-9474-4A85-A9F5-4A649ED86A16}"/>
    <cellStyle name="20% - Accent6 2 2 9" xfId="8771" xr:uid="{D57A6FB9-8190-4C3E-A036-F060B134BB04}"/>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F9C74E6C-A0DD-48D0-A8F3-42BBCB266C20}"/>
    <cellStyle name="20% - Accent6 2 3 2 2 3" xfId="11332" xr:uid="{B278CC21-3273-41A1-ADBF-F4CCFF946C79}"/>
    <cellStyle name="20% - Accent6 2 3 2 3" xfId="4963" xr:uid="{00000000-0005-0000-0000-00004F030000}"/>
    <cellStyle name="20% - Accent6 2 3 2 3 2" xfId="13405" xr:uid="{969FAFE4-E988-469C-9083-020A5D567E14}"/>
    <cellStyle name="20% - Accent6 2 3 2 4" xfId="9187" xr:uid="{EA4AF797-A131-4B43-94F2-3ED87F7D5176}"/>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20704A72-7768-4EBA-AE55-5F18257AE9B2}"/>
    <cellStyle name="20% - Accent6 2 3 3 2 3" xfId="11745" xr:uid="{687BD45C-B589-46B3-8D49-13232BD845BA}"/>
    <cellStyle name="20% - Accent6 2 3 3 3" xfId="5376" xr:uid="{00000000-0005-0000-0000-000053030000}"/>
    <cellStyle name="20% - Accent6 2 3 3 3 2" xfId="13818" xr:uid="{8CA47D8F-FD37-418E-BF23-AFEB56F986D1}"/>
    <cellStyle name="20% - Accent6 2 3 3 4" xfId="9600" xr:uid="{2FD5DC6C-F15B-45EA-97A3-3090889CCCEB}"/>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938B5EE2-909F-43D3-ABC7-6DC849623C4A}"/>
    <cellStyle name="20% - Accent6 2 3 4 2 3" xfId="12158" xr:uid="{E3D8E32D-83BE-4971-8D74-6C93A2A38F41}"/>
    <cellStyle name="20% - Accent6 2 3 4 3" xfId="5789" xr:uid="{00000000-0005-0000-0000-000057030000}"/>
    <cellStyle name="20% - Accent6 2 3 4 3 2" xfId="14231" xr:uid="{1B494075-8BBF-407B-B030-3491328785ED}"/>
    <cellStyle name="20% - Accent6 2 3 4 4" xfId="10013" xr:uid="{80B8BCB3-7020-4A06-9377-E1802EA7C4DB}"/>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6C13354D-DAF5-47BB-A88C-BC7DE9AC4E56}"/>
    <cellStyle name="20% - Accent6 2 3 5 2 3" xfId="12571" xr:uid="{8134B72F-EA6D-4DCC-8DBE-93B5764423CA}"/>
    <cellStyle name="20% - Accent6 2 3 5 3" xfId="6202" xr:uid="{00000000-0005-0000-0000-00005B030000}"/>
    <cellStyle name="20% - Accent6 2 3 5 3 2" xfId="14644" xr:uid="{4768C733-E149-4688-B4A2-2BFA8EB74481}"/>
    <cellStyle name="20% - Accent6 2 3 5 4" xfId="10426" xr:uid="{75967C64-9CEC-4897-9B6B-EF118AAE3822}"/>
    <cellStyle name="20% - Accent6 2 3 6" xfId="2308" xr:uid="{00000000-0005-0000-0000-00005C030000}"/>
    <cellStyle name="20% - Accent6 2 3 6 2" xfId="6615" xr:uid="{00000000-0005-0000-0000-00005D030000}"/>
    <cellStyle name="20% - Accent6 2 3 6 2 2" xfId="15057" xr:uid="{BECEB97C-4D18-4723-8799-73EF0D29B63B}"/>
    <cellStyle name="20% - Accent6 2 3 6 3" xfId="10839" xr:uid="{CCEB5A75-E282-49A8-B2EF-0F077049DE47}"/>
    <cellStyle name="20% - Accent6 2 3 7" xfId="4549" xr:uid="{00000000-0005-0000-0000-00005E030000}"/>
    <cellStyle name="20% - Accent6 2 3 7 2" xfId="12991" xr:uid="{3BCFFE85-46C0-45E9-A8CE-925203B92F83}"/>
    <cellStyle name="20% - Accent6 2 3 8" xfId="8773" xr:uid="{8CA44C51-DE92-4E90-84B1-2EF71A115BAB}"/>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DE03F49F-C637-4B6F-B037-45212866D109}"/>
    <cellStyle name="20% - Accent6 2 4 2 3" xfId="11329" xr:uid="{D6F3B8F8-ED05-42BB-AC58-4C6DF7F9BBE9}"/>
    <cellStyle name="20% - Accent6 2 4 3" xfId="4960" xr:uid="{00000000-0005-0000-0000-000062030000}"/>
    <cellStyle name="20% - Accent6 2 4 3 2" xfId="13402" xr:uid="{BD9BCE7F-5177-416C-AD04-B023DFC12C9E}"/>
    <cellStyle name="20% - Accent6 2 4 4" xfId="9184" xr:uid="{6D8618AE-9E82-4BEB-97FA-BD56D8DA6F53}"/>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BD1E1815-6C63-4FEB-B07D-1791B698B5BD}"/>
    <cellStyle name="20% - Accent6 2 5 2 3" xfId="11742" xr:uid="{83A0EDCF-D608-4D31-ACDD-2C79AE74195E}"/>
    <cellStyle name="20% - Accent6 2 5 3" xfId="5373" xr:uid="{00000000-0005-0000-0000-000066030000}"/>
    <cellStyle name="20% - Accent6 2 5 3 2" xfId="13815" xr:uid="{90C8E55E-24D6-4902-BE7C-668EB421A079}"/>
    <cellStyle name="20% - Accent6 2 5 4" xfId="9597" xr:uid="{B1F375EE-F3FD-42D9-AEE1-4877389BC98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2E9542A2-6809-481A-9055-8EDF66EDE230}"/>
    <cellStyle name="20% - Accent6 2 6 2 3" xfId="12155" xr:uid="{90B60DBC-CA4B-408B-A9CD-D98AC7870978}"/>
    <cellStyle name="20% - Accent6 2 6 3" xfId="5786" xr:uid="{00000000-0005-0000-0000-00006A030000}"/>
    <cellStyle name="20% - Accent6 2 6 3 2" xfId="14228" xr:uid="{293EB189-5142-4754-8A72-5847BB586753}"/>
    <cellStyle name="20% - Accent6 2 6 4" xfId="10010" xr:uid="{6EA2719E-7925-443C-BE8B-56354326CDB3}"/>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243CDB6D-55B4-49D0-BF5E-4EC1FF1CAD80}"/>
    <cellStyle name="20% - Accent6 2 7 2 3" xfId="12568" xr:uid="{A4798719-1AA6-4D90-B9A6-D50098045AD3}"/>
    <cellStyle name="20% - Accent6 2 7 3" xfId="6199" xr:uid="{00000000-0005-0000-0000-00006E030000}"/>
    <cellStyle name="20% - Accent6 2 7 3 2" xfId="14641" xr:uid="{F761C5E1-7611-4CD1-8F93-0C2C530D2D3B}"/>
    <cellStyle name="20% - Accent6 2 7 4" xfId="10423" xr:uid="{9A2958D2-DAE3-46DB-BA0E-3A627126C03F}"/>
    <cellStyle name="20% - Accent6 2 8" xfId="2305" xr:uid="{00000000-0005-0000-0000-00006F030000}"/>
    <cellStyle name="20% - Accent6 2 8 2" xfId="6612" xr:uid="{00000000-0005-0000-0000-000070030000}"/>
    <cellStyle name="20% - Accent6 2 8 2 2" xfId="15054" xr:uid="{7BA78661-DBAD-400D-96DA-D1113CCD025A}"/>
    <cellStyle name="20% - Accent6 2 8 3" xfId="10836" xr:uid="{F06A3579-2799-4914-8737-CD836642282A}"/>
    <cellStyle name="20% - Accent6 2 9" xfId="4546" xr:uid="{00000000-0005-0000-0000-000071030000}"/>
    <cellStyle name="20% - Accent6 2 9 2" xfId="12988" xr:uid="{F16B15DF-74F9-4FF0-9ADB-EE45A43AD43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2558ADD-4007-4A2B-95BD-B48A76F02880}"/>
    <cellStyle name="20% - Accent6 3 2 2 2 3" xfId="11334" xr:uid="{059C6E7F-6D47-4052-AA59-7DB789771379}"/>
    <cellStyle name="20% - Accent6 3 2 2 3" xfId="4965" xr:uid="{00000000-0005-0000-0000-000077030000}"/>
    <cellStyle name="20% - Accent6 3 2 2 3 2" xfId="13407" xr:uid="{5B18D4D5-395C-4116-9C4B-9D4BD731ED8D}"/>
    <cellStyle name="20% - Accent6 3 2 2 4" xfId="9189" xr:uid="{7F02F97E-2017-4EF0-97C0-5623EBE4C6A3}"/>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2648BBF3-00C1-40FC-A40F-E14FF9586F68}"/>
    <cellStyle name="20% - Accent6 3 2 3 2 3" xfId="11747" xr:uid="{FDF859C0-7FA3-4E82-8E1D-0C63AAC9B9C7}"/>
    <cellStyle name="20% - Accent6 3 2 3 3" xfId="5378" xr:uid="{00000000-0005-0000-0000-00007B030000}"/>
    <cellStyle name="20% - Accent6 3 2 3 3 2" xfId="13820" xr:uid="{1A79C4F7-B191-48D2-B04B-E78CDA1141AD}"/>
    <cellStyle name="20% - Accent6 3 2 3 4" xfId="9602" xr:uid="{A77EB702-6B3D-4C68-BB14-6E97AFEEAEF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1BC2449C-7C8D-4426-9631-89C83AFFEF40}"/>
    <cellStyle name="20% - Accent6 3 2 4 2 3" xfId="12160" xr:uid="{E25201F4-3995-4E53-8CE2-2FE595BB683D}"/>
    <cellStyle name="20% - Accent6 3 2 4 3" xfId="5791" xr:uid="{00000000-0005-0000-0000-00007F030000}"/>
    <cellStyle name="20% - Accent6 3 2 4 3 2" xfId="14233" xr:uid="{20809DAF-AD56-40F2-9345-6558690AD1DF}"/>
    <cellStyle name="20% - Accent6 3 2 4 4" xfId="10015" xr:uid="{F270A631-E726-4367-8031-7F4B5DA47275}"/>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748E89CC-CAB9-4C62-85E0-9E8CA2F7CC40}"/>
    <cellStyle name="20% - Accent6 3 2 5 2 3" xfId="12573" xr:uid="{CE0979F8-270F-4ADD-A444-8FD8CA10EF58}"/>
    <cellStyle name="20% - Accent6 3 2 5 3" xfId="6204" xr:uid="{00000000-0005-0000-0000-000083030000}"/>
    <cellStyle name="20% - Accent6 3 2 5 3 2" xfId="14646" xr:uid="{E81C7B6E-F045-496C-9FBE-7A8FDAFA7A9A}"/>
    <cellStyle name="20% - Accent6 3 2 5 4" xfId="10428" xr:uid="{FE308B43-1D96-4300-89D8-376B7D1F5298}"/>
    <cellStyle name="20% - Accent6 3 2 6" xfId="2310" xr:uid="{00000000-0005-0000-0000-000084030000}"/>
    <cellStyle name="20% - Accent6 3 2 6 2" xfId="6617" xr:uid="{00000000-0005-0000-0000-000085030000}"/>
    <cellStyle name="20% - Accent6 3 2 6 2 2" xfId="15059" xr:uid="{D24198C6-62B9-4970-BE85-4FC4E699CCDE}"/>
    <cellStyle name="20% - Accent6 3 2 6 3" xfId="10841" xr:uid="{953DCF64-07DF-4ED5-99A0-D53DF41C00D7}"/>
    <cellStyle name="20% - Accent6 3 2 7" xfId="4551" xr:uid="{00000000-0005-0000-0000-000086030000}"/>
    <cellStyle name="20% - Accent6 3 2 7 2" xfId="12993" xr:uid="{24FEEB6A-581F-4055-AE9C-F2E0A093266B}"/>
    <cellStyle name="20% - Accent6 3 2 8" xfId="8775" xr:uid="{13B18CF0-4982-444B-933D-EFD6F41C3EFB}"/>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1F9EBA14-822F-4FF6-AEE7-CA2AEBAE2841}"/>
    <cellStyle name="20% - Accent6 3 3 2 3" xfId="11333" xr:uid="{EDEEE845-3F02-460E-88C5-5CB099114E65}"/>
    <cellStyle name="20% - Accent6 3 3 3" xfId="4964" xr:uid="{00000000-0005-0000-0000-00008A030000}"/>
    <cellStyle name="20% - Accent6 3 3 3 2" xfId="13406" xr:uid="{C897FF19-97C4-4862-9D81-673EF78B8C81}"/>
    <cellStyle name="20% - Accent6 3 3 4" xfId="9188" xr:uid="{C917127B-A2B2-4D4F-B2E7-215F50A68DC5}"/>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B6B81238-6CB3-4943-BF02-CFDC8471B0DF}"/>
    <cellStyle name="20% - Accent6 3 4 2 3" xfId="11746" xr:uid="{F41C28CD-CB79-4E4C-86AD-0E8E0B9AD441}"/>
    <cellStyle name="20% - Accent6 3 4 3" xfId="5377" xr:uid="{00000000-0005-0000-0000-00008E030000}"/>
    <cellStyle name="20% - Accent6 3 4 3 2" xfId="13819" xr:uid="{5AD41977-F077-44A9-9CD7-F4032F1599B2}"/>
    <cellStyle name="20% - Accent6 3 4 4" xfId="9601" xr:uid="{F396C24C-D689-4635-A5F9-C30B35008CE8}"/>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52704D4B-6FD4-48C4-9E51-91EC5A6083C9}"/>
    <cellStyle name="20% - Accent6 3 5 2 3" xfId="12159" xr:uid="{36D7DC52-9E65-4F44-B99C-748FA73B6588}"/>
    <cellStyle name="20% - Accent6 3 5 3" xfId="5790" xr:uid="{00000000-0005-0000-0000-000092030000}"/>
    <cellStyle name="20% - Accent6 3 5 3 2" xfId="14232" xr:uid="{86073362-BF26-4A7D-B266-E0C2A99611F3}"/>
    <cellStyle name="20% - Accent6 3 5 4" xfId="10014" xr:uid="{B496E2EA-E9B2-429F-A678-F4D586B710C6}"/>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7C3B3A7-26CC-46C8-8275-7378D218839B}"/>
    <cellStyle name="20% - Accent6 3 6 2 3" xfId="12572" xr:uid="{3373C8E4-71FB-4E5C-99EB-95A6783E7819}"/>
    <cellStyle name="20% - Accent6 3 6 3" xfId="6203" xr:uid="{00000000-0005-0000-0000-000096030000}"/>
    <cellStyle name="20% - Accent6 3 6 3 2" xfId="14645" xr:uid="{A778B32A-E50B-46DF-AAC0-DDF12AA5F624}"/>
    <cellStyle name="20% - Accent6 3 6 4" xfId="10427" xr:uid="{31ABDFCC-1249-459B-8455-FAFA6BBD9256}"/>
    <cellStyle name="20% - Accent6 3 7" xfId="2309" xr:uid="{00000000-0005-0000-0000-000097030000}"/>
    <cellStyle name="20% - Accent6 3 7 2" xfId="6616" xr:uid="{00000000-0005-0000-0000-000098030000}"/>
    <cellStyle name="20% - Accent6 3 7 2 2" xfId="15058" xr:uid="{4AA3DF63-ABBB-4B53-BF5D-F7C0CA1C4EE9}"/>
    <cellStyle name="20% - Accent6 3 7 3" xfId="10840" xr:uid="{3FF505E2-65AD-4B2C-B4E3-B299890F5E24}"/>
    <cellStyle name="20% - Accent6 3 8" xfId="4550" xr:uid="{00000000-0005-0000-0000-000099030000}"/>
    <cellStyle name="20% - Accent6 3 8 2" xfId="12992" xr:uid="{71D9889B-51DC-4203-A458-74F2975E2C2F}"/>
    <cellStyle name="20% - Accent6 3 9" xfId="8774" xr:uid="{58B424DF-1174-461F-B19A-26E7128CAD2D}"/>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55679492-1105-4B36-BFB7-E594E92D4CE4}"/>
    <cellStyle name="20% - Accent6 4 2 2 3" xfId="11335" xr:uid="{A3DE99B6-8EC3-4C9F-8A15-26C0D83EC697}"/>
    <cellStyle name="20% - Accent6 4 2 3" xfId="4966" xr:uid="{00000000-0005-0000-0000-00009E030000}"/>
    <cellStyle name="20% - Accent6 4 2 3 2" xfId="13408" xr:uid="{8057DB09-87BA-4B21-9139-1CDE8B58D41F}"/>
    <cellStyle name="20% - Accent6 4 2 4" xfId="9190" xr:uid="{C856EB47-9984-4316-A10D-881A24C64EEF}"/>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9F799AF3-0DFF-421C-8EC4-90915C3AC0A2}"/>
    <cellStyle name="20% - Accent6 4 3 2 3" xfId="11748" xr:uid="{65186FD7-E8D7-411D-99EE-F9C61D7C7C9C}"/>
    <cellStyle name="20% - Accent6 4 3 3" xfId="5379" xr:uid="{00000000-0005-0000-0000-0000A2030000}"/>
    <cellStyle name="20% - Accent6 4 3 3 2" xfId="13821" xr:uid="{B64623E8-A77C-4630-836B-7C2917621B63}"/>
    <cellStyle name="20% - Accent6 4 3 4" xfId="9603" xr:uid="{B76B7A2E-981D-465E-A971-818DAFD3F518}"/>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BA4144FC-0B57-41E5-8768-2A00F04E9DCF}"/>
    <cellStyle name="20% - Accent6 4 4 2 3" xfId="12161" xr:uid="{16943745-EAE0-4827-9A09-EC6A26ED456D}"/>
    <cellStyle name="20% - Accent6 4 4 3" xfId="5792" xr:uid="{00000000-0005-0000-0000-0000A6030000}"/>
    <cellStyle name="20% - Accent6 4 4 3 2" xfId="14234" xr:uid="{7E7288E5-A59D-4CF6-A464-9EC7EB191214}"/>
    <cellStyle name="20% - Accent6 4 4 4" xfId="10016" xr:uid="{BAFF9F98-493D-47E9-B265-C9ECB879E3CC}"/>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12A632F9-628F-4B7B-B122-0BA94DB59B65}"/>
    <cellStyle name="20% - Accent6 4 5 2 3" xfId="12574" xr:uid="{6077F80A-1D65-4F90-81C5-65C36A62397C}"/>
    <cellStyle name="20% - Accent6 4 5 3" xfId="6205" xr:uid="{00000000-0005-0000-0000-0000AA030000}"/>
    <cellStyle name="20% - Accent6 4 5 3 2" xfId="14647" xr:uid="{F693070B-85AD-491F-B4BC-85C1664635EF}"/>
    <cellStyle name="20% - Accent6 4 5 4" xfId="10429" xr:uid="{55D89CBC-3F56-4BEB-A4DC-031AD5C8AEB2}"/>
    <cellStyle name="20% - Accent6 4 6" xfId="2311" xr:uid="{00000000-0005-0000-0000-0000AB030000}"/>
    <cellStyle name="20% - Accent6 4 6 2" xfId="6618" xr:uid="{00000000-0005-0000-0000-0000AC030000}"/>
    <cellStyle name="20% - Accent6 4 6 2 2" xfId="15060" xr:uid="{10E93DC1-64F0-4C48-B584-CEFA7C0C963D}"/>
    <cellStyle name="20% - Accent6 4 6 3" xfId="10842" xr:uid="{A9F212D0-F075-4B5E-B485-B516A3B445C4}"/>
    <cellStyle name="20% - Accent6 4 7" xfId="4552" xr:uid="{00000000-0005-0000-0000-0000AD030000}"/>
    <cellStyle name="20% - Accent6 4 7 2" xfId="12994" xr:uid="{067313C9-04DE-4D39-A3E7-896137DDAF9D}"/>
    <cellStyle name="20% - Accent6 4 8" xfId="8776" xr:uid="{42E7E800-7B0C-4C6E-82A4-C4A202BB2BA5}"/>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18AEB887-B719-4B70-84C0-5EE0C9DC0A1E}"/>
    <cellStyle name="20% - Accent6 5 2 3" xfId="11328" xr:uid="{FAA16040-3A61-4EA1-8375-BA3294F7D303}"/>
    <cellStyle name="20% - Accent6 5 3" xfId="4959" xr:uid="{00000000-0005-0000-0000-0000B1030000}"/>
    <cellStyle name="20% - Accent6 5 3 2" xfId="13401" xr:uid="{ACC49C24-7626-4CAF-B8C9-D34753012F35}"/>
    <cellStyle name="20% - Accent6 5 4" xfId="9183" xr:uid="{570448BD-4581-47E4-B77A-C15DEE1717BD}"/>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02DBC935-DBE6-45BF-8FCE-47628386C188}"/>
    <cellStyle name="20% - Accent6 6 2 3" xfId="11741" xr:uid="{8A90B1CB-0DF2-434F-9E8B-5F065820627D}"/>
    <cellStyle name="20% - Accent6 6 3" xfId="5372" xr:uid="{00000000-0005-0000-0000-0000B5030000}"/>
    <cellStyle name="20% - Accent6 6 3 2" xfId="13814" xr:uid="{7F4BC046-EE31-4DB3-8ED9-633FB13AF54C}"/>
    <cellStyle name="20% - Accent6 6 4" xfId="9596" xr:uid="{20E0C189-DB7F-4BBE-94E3-45B4FD70C02E}"/>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1B7F05EE-B919-40EC-A83D-1F4CE3570FD2}"/>
    <cellStyle name="20% - Accent6 7 2 3" xfId="12154" xr:uid="{C98AC0B1-79F9-41D5-A58C-3E99F58587C2}"/>
    <cellStyle name="20% - Accent6 7 3" xfId="5785" xr:uid="{00000000-0005-0000-0000-0000B9030000}"/>
    <cellStyle name="20% - Accent6 7 3 2" xfId="14227" xr:uid="{1B278C89-0C06-409B-8B0E-861521AC66D0}"/>
    <cellStyle name="20% - Accent6 7 4" xfId="10009" xr:uid="{7876820D-F6FC-40BA-83B7-13F86AC656C9}"/>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0475AF30-2EF2-4890-8D23-56087417FE4A}"/>
    <cellStyle name="20% - Accent6 8 2 3" xfId="12567" xr:uid="{CE08D686-FC71-4F29-A351-3AB101716CF4}"/>
    <cellStyle name="20% - Accent6 8 3" xfId="6198" xr:uid="{00000000-0005-0000-0000-0000BD030000}"/>
    <cellStyle name="20% - Accent6 8 3 2" xfId="14640" xr:uid="{F9B6D477-9EEC-49D3-B8AD-11671B18983E}"/>
    <cellStyle name="20% - Accent6 8 4" xfId="10422" xr:uid="{628650A8-B184-460D-A89F-1B2D2D41344B}"/>
    <cellStyle name="20% - Accent6 9" xfId="2304" xr:uid="{00000000-0005-0000-0000-0000BE030000}"/>
    <cellStyle name="20% - Accent6 9 2" xfId="6611" xr:uid="{00000000-0005-0000-0000-0000BF030000}"/>
    <cellStyle name="20% - Accent6 9 2 2" xfId="15053" xr:uid="{0BE1499A-801C-44CD-A045-2E7D4F95566B}"/>
    <cellStyle name="20% - Accent6 9 3" xfId="10835" xr:uid="{A96461E3-9DD6-4A0C-903A-4B2F84CD4F7B}"/>
    <cellStyle name="40% - Accent1" xfId="49" builtinId="31" customBuiltin="1"/>
    <cellStyle name="40% - Accent1 10" xfId="4553" xr:uid="{00000000-0005-0000-0000-0000C1030000}"/>
    <cellStyle name="40% - Accent1 10 2" xfId="12995" xr:uid="{904E1C5A-F73A-4D53-983B-23105C1AD634}"/>
    <cellStyle name="40% - Accent1 11" xfId="8777" xr:uid="{80A10268-FCD5-4712-9891-54FDDDC1DBD5}"/>
    <cellStyle name="40% - Accent1 2" xfId="50" xr:uid="{00000000-0005-0000-0000-0000C2030000}"/>
    <cellStyle name="40% - Accent1 2 10" xfId="8778" xr:uid="{1A1A0032-616D-430C-A61D-DADAB3749571}"/>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802736F6-DA61-4470-B560-C7ED4A456AAF}"/>
    <cellStyle name="40% - Accent1 2 2 2 2 2 3" xfId="11339" xr:uid="{3952D614-2E03-43D8-98A5-A47DFC315744}"/>
    <cellStyle name="40% - Accent1 2 2 2 2 3" xfId="4970" xr:uid="{00000000-0005-0000-0000-0000C8030000}"/>
    <cellStyle name="40% - Accent1 2 2 2 2 3 2" xfId="13412" xr:uid="{5AE98F06-CB24-4C32-B94D-5BAFAF35B843}"/>
    <cellStyle name="40% - Accent1 2 2 2 2 4" xfId="9194" xr:uid="{B4226FC5-8C7E-45FF-A8CA-19D590DEF32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65D2CAD9-394D-4E49-91F5-63E54253B697}"/>
    <cellStyle name="40% - Accent1 2 2 2 3 2 3" xfId="11752" xr:uid="{3684DA7D-2DAC-48EF-B636-71E3C2214B5A}"/>
    <cellStyle name="40% - Accent1 2 2 2 3 3" xfId="5383" xr:uid="{00000000-0005-0000-0000-0000CC030000}"/>
    <cellStyle name="40% - Accent1 2 2 2 3 3 2" xfId="13825" xr:uid="{60C0D897-85FD-4543-BCC7-AB60D213739B}"/>
    <cellStyle name="40% - Accent1 2 2 2 3 4" xfId="9607" xr:uid="{1E0B190C-64C1-4714-BD7D-CF3821D5B469}"/>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1723F367-1713-4EF5-9D88-3FE61F98ED05}"/>
    <cellStyle name="40% - Accent1 2 2 2 4 2 3" xfId="12165" xr:uid="{75C2F92D-2E62-423E-B2F0-316A0187761F}"/>
    <cellStyle name="40% - Accent1 2 2 2 4 3" xfId="5796" xr:uid="{00000000-0005-0000-0000-0000D0030000}"/>
    <cellStyle name="40% - Accent1 2 2 2 4 3 2" xfId="14238" xr:uid="{2BEBA8B6-D864-45B7-A5FB-289F391F4929}"/>
    <cellStyle name="40% - Accent1 2 2 2 4 4" xfId="10020" xr:uid="{67E7770E-FD70-48C9-B3E2-6265581A9354}"/>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8770FB08-6262-47C9-8568-4BB93382491B}"/>
    <cellStyle name="40% - Accent1 2 2 2 5 2 3" xfId="12578" xr:uid="{E576AAE0-162A-4136-B209-B7F5D379C9C4}"/>
    <cellStyle name="40% - Accent1 2 2 2 5 3" xfId="6209" xr:uid="{00000000-0005-0000-0000-0000D4030000}"/>
    <cellStyle name="40% - Accent1 2 2 2 5 3 2" xfId="14651" xr:uid="{4B32F642-445D-4411-A2A7-352E8932AEA6}"/>
    <cellStyle name="40% - Accent1 2 2 2 5 4" xfId="10433" xr:uid="{F46322CB-72CD-445F-9B04-B59A542524A8}"/>
    <cellStyle name="40% - Accent1 2 2 2 6" xfId="2315" xr:uid="{00000000-0005-0000-0000-0000D5030000}"/>
    <cellStyle name="40% - Accent1 2 2 2 6 2" xfId="6622" xr:uid="{00000000-0005-0000-0000-0000D6030000}"/>
    <cellStyle name="40% - Accent1 2 2 2 6 2 2" xfId="15064" xr:uid="{3158EBAF-E3D4-439D-B225-C802B292BAEA}"/>
    <cellStyle name="40% - Accent1 2 2 2 6 3" xfId="10846" xr:uid="{0300CA33-F4FC-409F-845B-F3B1FC4F695A}"/>
    <cellStyle name="40% - Accent1 2 2 2 7" xfId="4556" xr:uid="{00000000-0005-0000-0000-0000D7030000}"/>
    <cellStyle name="40% - Accent1 2 2 2 7 2" xfId="12998" xr:uid="{9421E08C-D0BB-43C1-B813-1176FD15F93A}"/>
    <cellStyle name="40% - Accent1 2 2 2 8" xfId="8780" xr:uid="{FCDACEF7-5BAD-4456-B91E-F02EFB54BCF2}"/>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0662EB9E-58E7-4402-9A4D-E24D84C30BFB}"/>
    <cellStyle name="40% - Accent1 2 2 3 2 3" xfId="11338" xr:uid="{245FE442-E3B5-4789-81F9-8F4B5C532955}"/>
    <cellStyle name="40% - Accent1 2 2 3 3" xfId="4969" xr:uid="{00000000-0005-0000-0000-0000DB030000}"/>
    <cellStyle name="40% - Accent1 2 2 3 3 2" xfId="13411" xr:uid="{4825E99A-95C9-494B-9035-9C3983AA3DCF}"/>
    <cellStyle name="40% - Accent1 2 2 3 4" xfId="9193" xr:uid="{050C9EAC-ED2B-4D4F-905A-723FB28C01EA}"/>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DE928619-3EA1-43D1-B44E-D11CB5A9B537}"/>
    <cellStyle name="40% - Accent1 2 2 4 2 3" xfId="11751" xr:uid="{EC3F5C29-2CC2-4293-9E93-114AE1FF49E6}"/>
    <cellStyle name="40% - Accent1 2 2 4 3" xfId="5382" xr:uid="{00000000-0005-0000-0000-0000DF030000}"/>
    <cellStyle name="40% - Accent1 2 2 4 3 2" xfId="13824" xr:uid="{DAB4E39D-51A1-4EEB-BB3C-8B6A3BCE8AF4}"/>
    <cellStyle name="40% - Accent1 2 2 4 4" xfId="9606" xr:uid="{92269A79-73A4-40B8-8442-C3BC0FFF6652}"/>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1CF6CF25-C320-417B-A09B-D7C00A60329F}"/>
    <cellStyle name="40% - Accent1 2 2 5 2 3" xfId="12164" xr:uid="{D289ED8D-8120-4C26-97A9-FA01163D8618}"/>
    <cellStyle name="40% - Accent1 2 2 5 3" xfId="5795" xr:uid="{00000000-0005-0000-0000-0000E3030000}"/>
    <cellStyle name="40% - Accent1 2 2 5 3 2" xfId="14237" xr:uid="{884E6CCF-81C0-4713-B29B-182269C8E162}"/>
    <cellStyle name="40% - Accent1 2 2 5 4" xfId="10019" xr:uid="{61CAD302-56F2-4395-87FE-E5C528B4534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7884CEA0-380F-4D5B-89A9-5F84B0480B96}"/>
    <cellStyle name="40% - Accent1 2 2 6 2 3" xfId="12577" xr:uid="{6EE3C04B-BE44-4091-92EC-0FD1AA61B1CB}"/>
    <cellStyle name="40% - Accent1 2 2 6 3" xfId="6208" xr:uid="{00000000-0005-0000-0000-0000E7030000}"/>
    <cellStyle name="40% - Accent1 2 2 6 3 2" xfId="14650" xr:uid="{FB0D5846-DF1F-49A8-9EC3-840CCF97317C}"/>
    <cellStyle name="40% - Accent1 2 2 6 4" xfId="10432" xr:uid="{EFD16C30-F48C-4F04-B5E3-3E84131D12A2}"/>
    <cellStyle name="40% - Accent1 2 2 7" xfId="2314" xr:uid="{00000000-0005-0000-0000-0000E8030000}"/>
    <cellStyle name="40% - Accent1 2 2 7 2" xfId="6621" xr:uid="{00000000-0005-0000-0000-0000E9030000}"/>
    <cellStyle name="40% - Accent1 2 2 7 2 2" xfId="15063" xr:uid="{55713603-7952-4E95-A3D0-B2DD7664AA11}"/>
    <cellStyle name="40% - Accent1 2 2 7 3" xfId="10845" xr:uid="{E1CF411F-06E6-4E61-AE9B-42D2E9457CA9}"/>
    <cellStyle name="40% - Accent1 2 2 8" xfId="4555" xr:uid="{00000000-0005-0000-0000-0000EA030000}"/>
    <cellStyle name="40% - Accent1 2 2 8 2" xfId="12997" xr:uid="{D53F2955-57C3-4D46-97E3-4B9A4E1E8630}"/>
    <cellStyle name="40% - Accent1 2 2 9" xfId="8779" xr:uid="{3E1E5D12-C7F0-4D65-81D4-3BDDB8DA2EC1}"/>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21528A73-5D36-4A3C-A7B5-662C5CA33D92}"/>
    <cellStyle name="40% - Accent1 2 3 2 2 3" xfId="11340" xr:uid="{7A41E7DD-BB4D-4B54-B2A1-17A01D2CDEC6}"/>
    <cellStyle name="40% - Accent1 2 3 2 3" xfId="4971" xr:uid="{00000000-0005-0000-0000-0000EF030000}"/>
    <cellStyle name="40% - Accent1 2 3 2 3 2" xfId="13413" xr:uid="{75F8D005-6A4E-4CA7-ACEA-60E6F95C0677}"/>
    <cellStyle name="40% - Accent1 2 3 2 4" xfId="9195" xr:uid="{5F55EA52-25D3-4980-99F0-0B93EE66BC1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6C93487D-37A2-4E3A-9B72-B81A12BF019D}"/>
    <cellStyle name="40% - Accent1 2 3 3 2 3" xfId="11753" xr:uid="{7E37FC61-78EE-48DB-BD9F-6CD0B14520A8}"/>
    <cellStyle name="40% - Accent1 2 3 3 3" xfId="5384" xr:uid="{00000000-0005-0000-0000-0000F3030000}"/>
    <cellStyle name="40% - Accent1 2 3 3 3 2" xfId="13826" xr:uid="{24FE3AFA-BAA0-4B60-B3BD-75DCA9053C5B}"/>
    <cellStyle name="40% - Accent1 2 3 3 4" xfId="9608" xr:uid="{C4893196-8DF8-4FAD-A6D2-895999F8F3A7}"/>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982818ED-F784-48F9-A089-00ED401A10C5}"/>
    <cellStyle name="40% - Accent1 2 3 4 2 3" xfId="12166" xr:uid="{761C3DC3-CFEC-447F-B451-6C1D5A68A1CA}"/>
    <cellStyle name="40% - Accent1 2 3 4 3" xfId="5797" xr:uid="{00000000-0005-0000-0000-0000F7030000}"/>
    <cellStyle name="40% - Accent1 2 3 4 3 2" xfId="14239" xr:uid="{49CD732E-DA32-46C2-96DF-428149AEB6FF}"/>
    <cellStyle name="40% - Accent1 2 3 4 4" xfId="10021" xr:uid="{BBE028F4-0C28-40B2-B060-EC43AA99302E}"/>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DC027376-FA4D-46A3-B0CD-3EF27064118B}"/>
    <cellStyle name="40% - Accent1 2 3 5 2 3" xfId="12579" xr:uid="{BA55EF20-D40E-488D-8AF0-791E3B561E19}"/>
    <cellStyle name="40% - Accent1 2 3 5 3" xfId="6210" xr:uid="{00000000-0005-0000-0000-0000FB030000}"/>
    <cellStyle name="40% - Accent1 2 3 5 3 2" xfId="14652" xr:uid="{1DB0B142-B4B3-4874-9005-FBC1BA4A046A}"/>
    <cellStyle name="40% - Accent1 2 3 5 4" xfId="10434" xr:uid="{00F8F7A0-C365-49C7-9823-5DA49CFD29D8}"/>
    <cellStyle name="40% - Accent1 2 3 6" xfId="2316" xr:uid="{00000000-0005-0000-0000-0000FC030000}"/>
    <cellStyle name="40% - Accent1 2 3 6 2" xfId="6623" xr:uid="{00000000-0005-0000-0000-0000FD030000}"/>
    <cellStyle name="40% - Accent1 2 3 6 2 2" xfId="15065" xr:uid="{50BDE4D1-AA3F-4931-9F5D-FB5E78F2EE5D}"/>
    <cellStyle name="40% - Accent1 2 3 6 3" xfId="10847" xr:uid="{B3B48735-3D62-49C6-9F00-72BF76275DFF}"/>
    <cellStyle name="40% - Accent1 2 3 7" xfId="4557" xr:uid="{00000000-0005-0000-0000-0000FE030000}"/>
    <cellStyle name="40% - Accent1 2 3 7 2" xfId="12999" xr:uid="{C84CC8B6-6C91-43A8-B032-B6C385EAA566}"/>
    <cellStyle name="40% - Accent1 2 3 8" xfId="8781" xr:uid="{D2353FD2-427D-46F5-9029-948E905E4ACF}"/>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319CC803-165F-42A6-82D6-FDC6B5461711}"/>
    <cellStyle name="40% - Accent1 2 4 2 3" xfId="11337" xr:uid="{B82245D0-697B-4041-B0EC-25488D2FE328}"/>
    <cellStyle name="40% - Accent1 2 4 3" xfId="4968" xr:uid="{00000000-0005-0000-0000-000002040000}"/>
    <cellStyle name="40% - Accent1 2 4 3 2" xfId="13410" xr:uid="{DCAD082A-3180-48FD-BE91-1900C139ABDA}"/>
    <cellStyle name="40% - Accent1 2 4 4" xfId="9192" xr:uid="{F17FB1BC-5638-4A7E-873F-ADE803D33B91}"/>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123F3777-EC1B-4A92-AD49-472EEE3609D1}"/>
    <cellStyle name="40% - Accent1 2 5 2 3" xfId="11750" xr:uid="{21B8D2B7-09D1-4A8F-9BDF-87017CD72B6D}"/>
    <cellStyle name="40% - Accent1 2 5 3" xfId="5381" xr:uid="{00000000-0005-0000-0000-000006040000}"/>
    <cellStyle name="40% - Accent1 2 5 3 2" xfId="13823" xr:uid="{9425807C-0E4A-4416-B12F-0198BD5DF0DD}"/>
    <cellStyle name="40% - Accent1 2 5 4" xfId="9605" xr:uid="{06007D14-7A6E-4A2F-A41F-AF787049E16F}"/>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2577B572-B5B7-4632-A9B4-247EEF328009}"/>
    <cellStyle name="40% - Accent1 2 6 2 3" xfId="12163" xr:uid="{A123316E-CBE2-46FD-9640-D5048C519399}"/>
    <cellStyle name="40% - Accent1 2 6 3" xfId="5794" xr:uid="{00000000-0005-0000-0000-00000A040000}"/>
    <cellStyle name="40% - Accent1 2 6 3 2" xfId="14236" xr:uid="{E50FA7FF-9B7F-44D2-AE14-5E2835BCB64B}"/>
    <cellStyle name="40% - Accent1 2 6 4" xfId="10018" xr:uid="{4593DA89-2DA4-4582-B35C-D6CA4BB13CA2}"/>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E44A3772-8883-49C9-A28A-1B4FE89D9EC4}"/>
    <cellStyle name="40% - Accent1 2 7 2 3" xfId="12576" xr:uid="{B55DD068-8895-4DF4-B796-3C697CD1D7AF}"/>
    <cellStyle name="40% - Accent1 2 7 3" xfId="6207" xr:uid="{00000000-0005-0000-0000-00000E040000}"/>
    <cellStyle name="40% - Accent1 2 7 3 2" xfId="14649" xr:uid="{B20902E6-24D9-44E4-98EC-00F6B8E4BAB4}"/>
    <cellStyle name="40% - Accent1 2 7 4" xfId="10431" xr:uid="{653D6E7F-B5F4-437C-8D2A-865B93924106}"/>
    <cellStyle name="40% - Accent1 2 8" xfId="2313" xr:uid="{00000000-0005-0000-0000-00000F040000}"/>
    <cellStyle name="40% - Accent1 2 8 2" xfId="6620" xr:uid="{00000000-0005-0000-0000-000010040000}"/>
    <cellStyle name="40% - Accent1 2 8 2 2" xfId="15062" xr:uid="{C855A13D-0416-42AE-B983-F7CA28F2C221}"/>
    <cellStyle name="40% - Accent1 2 8 3" xfId="10844" xr:uid="{7BFF85AB-C91D-47CC-9210-DB043AA6FE07}"/>
    <cellStyle name="40% - Accent1 2 9" xfId="4554" xr:uid="{00000000-0005-0000-0000-000011040000}"/>
    <cellStyle name="40% - Accent1 2 9 2" xfId="12996" xr:uid="{305C3FF8-9352-4E02-BC96-2062A31A1E86}"/>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1D5F729B-4C20-4D9B-941E-039C04AEB6A8}"/>
    <cellStyle name="40% - Accent1 3 2 2 2 3" xfId="11342" xr:uid="{91B815B4-C1CC-48F9-AE04-036EBF548D2F}"/>
    <cellStyle name="40% - Accent1 3 2 2 3" xfId="4973" xr:uid="{00000000-0005-0000-0000-000017040000}"/>
    <cellStyle name="40% - Accent1 3 2 2 3 2" xfId="13415" xr:uid="{83B8DDE5-3BC9-4C92-B6FC-FFA2BD419F9B}"/>
    <cellStyle name="40% - Accent1 3 2 2 4" xfId="9197" xr:uid="{1916A661-7490-4A80-A0C6-AB10514D1664}"/>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60BB56D-76E5-475E-82C0-6A3E618B85BA}"/>
    <cellStyle name="40% - Accent1 3 2 3 2 3" xfId="11755" xr:uid="{B0EBEDFE-2403-41BF-BEB4-912378AA8F8C}"/>
    <cellStyle name="40% - Accent1 3 2 3 3" xfId="5386" xr:uid="{00000000-0005-0000-0000-00001B040000}"/>
    <cellStyle name="40% - Accent1 3 2 3 3 2" xfId="13828" xr:uid="{14133C5B-EAE8-48F1-B859-71CEB40F3792}"/>
    <cellStyle name="40% - Accent1 3 2 3 4" xfId="9610" xr:uid="{6FDC04C6-0D6F-42C8-B1AF-F6B55C63B9DA}"/>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325C9A35-D77D-43D6-BFE2-C1E53A3F117C}"/>
    <cellStyle name="40% - Accent1 3 2 4 2 3" xfId="12168" xr:uid="{5A28CC12-1B76-4DCE-B429-E5DDFC6CCAB9}"/>
    <cellStyle name="40% - Accent1 3 2 4 3" xfId="5799" xr:uid="{00000000-0005-0000-0000-00001F040000}"/>
    <cellStyle name="40% - Accent1 3 2 4 3 2" xfId="14241" xr:uid="{7B94D7A0-6ABC-4607-AA56-CCEFCAE30680}"/>
    <cellStyle name="40% - Accent1 3 2 4 4" xfId="10023" xr:uid="{858DD91F-5718-4792-901E-E8D87B404C46}"/>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5BE309E1-CFD2-4C89-A95D-4C1E6DA8D7A6}"/>
    <cellStyle name="40% - Accent1 3 2 5 2 3" xfId="12581" xr:uid="{83A6B4E4-F1C3-49F9-A1C5-EB8A9BDC60F1}"/>
    <cellStyle name="40% - Accent1 3 2 5 3" xfId="6212" xr:uid="{00000000-0005-0000-0000-000023040000}"/>
    <cellStyle name="40% - Accent1 3 2 5 3 2" xfId="14654" xr:uid="{80DB3450-E835-4C00-AF96-2551356BC73E}"/>
    <cellStyle name="40% - Accent1 3 2 5 4" xfId="10436" xr:uid="{8E23489F-E741-40DC-866D-CB440C665B99}"/>
    <cellStyle name="40% - Accent1 3 2 6" xfId="2318" xr:uid="{00000000-0005-0000-0000-000024040000}"/>
    <cellStyle name="40% - Accent1 3 2 6 2" xfId="6625" xr:uid="{00000000-0005-0000-0000-000025040000}"/>
    <cellStyle name="40% - Accent1 3 2 6 2 2" xfId="15067" xr:uid="{9B7BDE1C-6D60-446C-BF4C-7B69541E19E6}"/>
    <cellStyle name="40% - Accent1 3 2 6 3" xfId="10849" xr:uid="{1E28D62F-0FBD-4EBD-BF6E-CDF73B6CCFCA}"/>
    <cellStyle name="40% - Accent1 3 2 7" xfId="4559" xr:uid="{00000000-0005-0000-0000-000026040000}"/>
    <cellStyle name="40% - Accent1 3 2 7 2" xfId="13001" xr:uid="{CA87B794-7B0C-49CA-8ABD-77E8AF8B0372}"/>
    <cellStyle name="40% - Accent1 3 2 8" xfId="8783" xr:uid="{C1FED2B5-9961-4052-B1C9-5701C243F9B9}"/>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540062F1-12B1-454C-B24C-480AC83FD091}"/>
    <cellStyle name="40% - Accent1 3 3 2 3" xfId="11341" xr:uid="{A75F4F66-5F0F-4214-9F37-6BEBAD85CA1F}"/>
    <cellStyle name="40% - Accent1 3 3 3" xfId="4972" xr:uid="{00000000-0005-0000-0000-00002A040000}"/>
    <cellStyle name="40% - Accent1 3 3 3 2" xfId="13414" xr:uid="{F76CA972-9852-46DD-AF7E-A9B9F51D8335}"/>
    <cellStyle name="40% - Accent1 3 3 4" xfId="9196" xr:uid="{121606A9-C56C-4A08-8A43-7A17D141BF4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B7803B3E-A942-4D94-BB28-BC55A5A89122}"/>
    <cellStyle name="40% - Accent1 3 4 2 3" xfId="11754" xr:uid="{D5CB6F8B-EFAE-4BA1-8C06-21CC49CAC90E}"/>
    <cellStyle name="40% - Accent1 3 4 3" xfId="5385" xr:uid="{00000000-0005-0000-0000-00002E040000}"/>
    <cellStyle name="40% - Accent1 3 4 3 2" xfId="13827" xr:uid="{CC36B9E0-F55D-4803-A35C-83B53AC2B6B3}"/>
    <cellStyle name="40% - Accent1 3 4 4" xfId="9609" xr:uid="{3C013EC0-F2D7-41C5-B88F-170080CA2C39}"/>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8BA7DEED-C6A1-4866-897E-134847AD3A65}"/>
    <cellStyle name="40% - Accent1 3 5 2 3" xfId="12167" xr:uid="{609356DE-35F8-4AE6-A57B-5E4E64E549A2}"/>
    <cellStyle name="40% - Accent1 3 5 3" xfId="5798" xr:uid="{00000000-0005-0000-0000-000032040000}"/>
    <cellStyle name="40% - Accent1 3 5 3 2" xfId="14240" xr:uid="{76F871AA-6C13-4424-A79D-EC5830CA1B57}"/>
    <cellStyle name="40% - Accent1 3 5 4" xfId="10022" xr:uid="{DD03678D-A8CA-4774-99EA-A171DDFE07E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811153F1-CDDD-471D-81A2-FE2D585DD267}"/>
    <cellStyle name="40% - Accent1 3 6 2 3" xfId="12580" xr:uid="{2EAEEDA7-1FFA-419B-AF91-7F2FD4ACC06C}"/>
    <cellStyle name="40% - Accent1 3 6 3" xfId="6211" xr:uid="{00000000-0005-0000-0000-000036040000}"/>
    <cellStyle name="40% - Accent1 3 6 3 2" xfId="14653" xr:uid="{67BE3C23-BEC6-485F-8D36-099F54F15600}"/>
    <cellStyle name="40% - Accent1 3 6 4" xfId="10435" xr:uid="{79C03E28-0EA8-42AA-B00C-6355C9295004}"/>
    <cellStyle name="40% - Accent1 3 7" xfId="2317" xr:uid="{00000000-0005-0000-0000-000037040000}"/>
    <cellStyle name="40% - Accent1 3 7 2" xfId="6624" xr:uid="{00000000-0005-0000-0000-000038040000}"/>
    <cellStyle name="40% - Accent1 3 7 2 2" xfId="15066" xr:uid="{A126F780-65B9-42AC-8287-8350C3B7188B}"/>
    <cellStyle name="40% - Accent1 3 7 3" xfId="10848" xr:uid="{F3D6D4D4-9990-4A8E-B48A-1B2A978A858A}"/>
    <cellStyle name="40% - Accent1 3 8" xfId="4558" xr:uid="{00000000-0005-0000-0000-000039040000}"/>
    <cellStyle name="40% - Accent1 3 8 2" xfId="13000" xr:uid="{09C7C45C-A652-4927-81DC-D37529630ABE}"/>
    <cellStyle name="40% - Accent1 3 9" xfId="8782" xr:uid="{08CECE76-8FD1-478E-977A-76B6B8B2EB18}"/>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18E61AC5-58FE-4CB0-AA86-D5C872270412}"/>
    <cellStyle name="40% - Accent1 4 2 2 3" xfId="11343" xr:uid="{042883B6-F35F-402E-A9DB-20FDD880B248}"/>
    <cellStyle name="40% - Accent1 4 2 3" xfId="4974" xr:uid="{00000000-0005-0000-0000-00003E040000}"/>
    <cellStyle name="40% - Accent1 4 2 3 2" xfId="13416" xr:uid="{5E4AF613-1FAE-4714-958F-98CD22749AEA}"/>
    <cellStyle name="40% - Accent1 4 2 4" xfId="9198" xr:uid="{538D10E0-3B3B-4C90-B875-592CF91C4B27}"/>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2855AE63-5803-4A7F-AF8D-53D496C275DD}"/>
    <cellStyle name="40% - Accent1 4 3 2 3" xfId="11756" xr:uid="{6DC9E32A-9413-4B2F-BD85-53692DCC16CB}"/>
    <cellStyle name="40% - Accent1 4 3 3" xfId="5387" xr:uid="{00000000-0005-0000-0000-000042040000}"/>
    <cellStyle name="40% - Accent1 4 3 3 2" xfId="13829" xr:uid="{65F26805-96AD-4FE4-92D8-DFAF6F36E102}"/>
    <cellStyle name="40% - Accent1 4 3 4" xfId="9611" xr:uid="{444297A3-3B78-46A6-A177-629AA8903FA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53552894-89C3-45F0-AF92-0FA38A5F800C}"/>
    <cellStyle name="40% - Accent1 4 4 2 3" xfId="12169" xr:uid="{01B69F0F-F4E0-4ADA-92DA-F412205619A2}"/>
    <cellStyle name="40% - Accent1 4 4 3" xfId="5800" xr:uid="{00000000-0005-0000-0000-000046040000}"/>
    <cellStyle name="40% - Accent1 4 4 3 2" xfId="14242" xr:uid="{8B5FA897-07C8-4CFB-8C3C-0E629BF7C8D2}"/>
    <cellStyle name="40% - Accent1 4 4 4" xfId="10024" xr:uid="{B480BFD1-A3B4-44B4-9F7D-3B9F4E3F56C5}"/>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0AA8BAC9-8708-4901-A256-7D8BD36E57E2}"/>
    <cellStyle name="40% - Accent1 4 5 2 3" xfId="12582" xr:uid="{9C28432C-1A99-4729-9544-83A377C1BBC7}"/>
    <cellStyle name="40% - Accent1 4 5 3" xfId="6213" xr:uid="{00000000-0005-0000-0000-00004A040000}"/>
    <cellStyle name="40% - Accent1 4 5 3 2" xfId="14655" xr:uid="{CBABF55C-26B8-495C-A860-EC8E917CBCBC}"/>
    <cellStyle name="40% - Accent1 4 5 4" xfId="10437" xr:uid="{4F8082B9-99AA-4369-BC21-1DACC820F3A2}"/>
    <cellStyle name="40% - Accent1 4 6" xfId="2319" xr:uid="{00000000-0005-0000-0000-00004B040000}"/>
    <cellStyle name="40% - Accent1 4 6 2" xfId="6626" xr:uid="{00000000-0005-0000-0000-00004C040000}"/>
    <cellStyle name="40% - Accent1 4 6 2 2" xfId="15068" xr:uid="{C3AFB18C-1D70-425C-B080-F1E7D7EA9E12}"/>
    <cellStyle name="40% - Accent1 4 6 3" xfId="10850" xr:uid="{506BA620-881B-483C-A166-802C9C3EA4A1}"/>
    <cellStyle name="40% - Accent1 4 7" xfId="4560" xr:uid="{00000000-0005-0000-0000-00004D040000}"/>
    <cellStyle name="40% - Accent1 4 7 2" xfId="13002" xr:uid="{20A8B63E-27CC-47FA-B493-9E186A59477E}"/>
    <cellStyle name="40% - Accent1 4 8" xfId="8784" xr:uid="{7E09F895-4DB4-46FE-BDEE-817D0114F0A1}"/>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1F5EE4F-F406-4D58-A9FA-FAD397191381}"/>
    <cellStyle name="40% - Accent1 5 2 3" xfId="11336" xr:uid="{5F54F4BD-8CA0-4C54-BDF9-DC71F5C6C653}"/>
    <cellStyle name="40% - Accent1 5 3" xfId="4967" xr:uid="{00000000-0005-0000-0000-000051040000}"/>
    <cellStyle name="40% - Accent1 5 3 2" xfId="13409" xr:uid="{0C5CB28F-79F2-4CE8-A788-6073B025DFC4}"/>
    <cellStyle name="40% - Accent1 5 4" xfId="9191" xr:uid="{A064BDE0-B653-4BD3-AA58-589310FEB4AD}"/>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C8443618-F856-437E-BEBA-83551DD4EFD6}"/>
    <cellStyle name="40% - Accent1 6 2 3" xfId="11749" xr:uid="{7653DE22-884E-47B9-98AC-522D126B08A3}"/>
    <cellStyle name="40% - Accent1 6 3" xfId="5380" xr:uid="{00000000-0005-0000-0000-000055040000}"/>
    <cellStyle name="40% - Accent1 6 3 2" xfId="13822" xr:uid="{6EF14E87-8AD0-4832-AAF3-719C659EAF35}"/>
    <cellStyle name="40% - Accent1 6 4" xfId="9604" xr:uid="{63B4EC49-E5DB-42A4-8F75-60384005693C}"/>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F09C495B-5E4D-4D5F-94B5-509C642215BC}"/>
    <cellStyle name="40% - Accent1 7 2 3" xfId="12162" xr:uid="{7DA33CFC-0EE0-4FA2-8ABD-9065921A9EBC}"/>
    <cellStyle name="40% - Accent1 7 3" xfId="5793" xr:uid="{00000000-0005-0000-0000-000059040000}"/>
    <cellStyle name="40% - Accent1 7 3 2" xfId="14235" xr:uid="{88B40A3A-4C4F-44D9-AE31-6B17B867E974}"/>
    <cellStyle name="40% - Accent1 7 4" xfId="10017" xr:uid="{39A83C81-3FAC-452C-82ED-CC38C74BD822}"/>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FF74E47D-287F-4A27-A525-DBBD0FA7F914}"/>
    <cellStyle name="40% - Accent1 8 2 3" xfId="12575" xr:uid="{0DDAB388-1D73-43DE-B2EE-6FCD36551299}"/>
    <cellStyle name="40% - Accent1 8 3" xfId="6206" xr:uid="{00000000-0005-0000-0000-00005D040000}"/>
    <cellStyle name="40% - Accent1 8 3 2" xfId="14648" xr:uid="{2D2AF1C9-5B32-4B59-8F8C-3F9EC8D65CAF}"/>
    <cellStyle name="40% - Accent1 8 4" xfId="10430" xr:uid="{2F7DD1CA-244F-4243-8A68-9B471E3820AA}"/>
    <cellStyle name="40% - Accent1 9" xfId="2312" xr:uid="{00000000-0005-0000-0000-00005E040000}"/>
    <cellStyle name="40% - Accent1 9 2" xfId="6619" xr:uid="{00000000-0005-0000-0000-00005F040000}"/>
    <cellStyle name="40% - Accent1 9 2 2" xfId="15061" xr:uid="{9BFF9297-0652-4F92-9B8C-8A6D54172EE0}"/>
    <cellStyle name="40% - Accent1 9 3" xfId="10843" xr:uid="{D47AE363-896C-4888-8B73-D2C4A9F468AF}"/>
    <cellStyle name="40% - Accent2" xfId="57" builtinId="35" customBuiltin="1"/>
    <cellStyle name="40% - Accent2 10" xfId="4561" xr:uid="{00000000-0005-0000-0000-000061040000}"/>
    <cellStyle name="40% - Accent2 10 2" xfId="13003" xr:uid="{19B4A046-99CA-431F-B455-115937776F19}"/>
    <cellStyle name="40% - Accent2 11" xfId="8785" xr:uid="{3454B742-147E-481D-893A-AC9689A46C7D}"/>
    <cellStyle name="40% - Accent2 2" xfId="58" xr:uid="{00000000-0005-0000-0000-000062040000}"/>
    <cellStyle name="40% - Accent2 2 10" xfId="8786" xr:uid="{981CACEE-24C4-467A-9429-AB89C21DF9E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AD364843-95E5-469C-8D7B-AC888343AE19}"/>
    <cellStyle name="40% - Accent2 2 2 2 2 2 3" xfId="11347" xr:uid="{8FFE6C5E-C540-4562-99CA-8D8E7CF946A1}"/>
    <cellStyle name="40% - Accent2 2 2 2 2 3" xfId="4978" xr:uid="{00000000-0005-0000-0000-000068040000}"/>
    <cellStyle name="40% - Accent2 2 2 2 2 3 2" xfId="13420" xr:uid="{622D64E3-4967-421F-BBDE-AE02DEBFC76E}"/>
    <cellStyle name="40% - Accent2 2 2 2 2 4" xfId="9202" xr:uid="{04EC3EB7-2A10-4861-8DDD-5AF244A5B74C}"/>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D3E21865-4A28-40F0-A654-69D03E7A8880}"/>
    <cellStyle name="40% - Accent2 2 2 2 3 2 3" xfId="11760" xr:uid="{7E316A49-4F70-4D4A-97F6-73A6453FD5C7}"/>
    <cellStyle name="40% - Accent2 2 2 2 3 3" xfId="5391" xr:uid="{00000000-0005-0000-0000-00006C040000}"/>
    <cellStyle name="40% - Accent2 2 2 2 3 3 2" xfId="13833" xr:uid="{FFDDA819-B980-4B2E-A1E0-7264B7132EAA}"/>
    <cellStyle name="40% - Accent2 2 2 2 3 4" xfId="9615" xr:uid="{CD059661-D955-4012-AFA2-209DCCCBFD7D}"/>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712E106E-5E7F-495E-A390-D3E637E8D380}"/>
    <cellStyle name="40% - Accent2 2 2 2 4 2 3" xfId="12173" xr:uid="{9BEBCB79-2AA4-4004-8DEC-0A024F29D902}"/>
    <cellStyle name="40% - Accent2 2 2 2 4 3" xfId="5804" xr:uid="{00000000-0005-0000-0000-000070040000}"/>
    <cellStyle name="40% - Accent2 2 2 2 4 3 2" xfId="14246" xr:uid="{C0A45A9C-A77D-412D-A007-D0EFCFCC494E}"/>
    <cellStyle name="40% - Accent2 2 2 2 4 4" xfId="10028" xr:uid="{A616DD09-7213-4132-9C1C-C89BCB81464E}"/>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7F4185A0-634D-4E1C-8DF1-2EE47D370222}"/>
    <cellStyle name="40% - Accent2 2 2 2 5 2 3" xfId="12586" xr:uid="{16F69593-2E0A-4032-98BD-AD0C8FF10423}"/>
    <cellStyle name="40% - Accent2 2 2 2 5 3" xfId="6217" xr:uid="{00000000-0005-0000-0000-000074040000}"/>
    <cellStyle name="40% - Accent2 2 2 2 5 3 2" xfId="14659" xr:uid="{BC68CA06-367E-456C-8FF5-7BDC2C8C56A5}"/>
    <cellStyle name="40% - Accent2 2 2 2 5 4" xfId="10441" xr:uid="{E4BFFA93-F879-4940-B39A-7CAAA275D4F4}"/>
    <cellStyle name="40% - Accent2 2 2 2 6" xfId="2323" xr:uid="{00000000-0005-0000-0000-000075040000}"/>
    <cellStyle name="40% - Accent2 2 2 2 6 2" xfId="6630" xr:uid="{00000000-0005-0000-0000-000076040000}"/>
    <cellStyle name="40% - Accent2 2 2 2 6 2 2" xfId="15072" xr:uid="{172ACD6A-AB1A-4B44-847B-5C0029B956E0}"/>
    <cellStyle name="40% - Accent2 2 2 2 6 3" xfId="10854" xr:uid="{C49B3FCF-E74D-4F05-9803-E47C52F7D828}"/>
    <cellStyle name="40% - Accent2 2 2 2 7" xfId="4564" xr:uid="{00000000-0005-0000-0000-000077040000}"/>
    <cellStyle name="40% - Accent2 2 2 2 7 2" xfId="13006" xr:uid="{7DD8D33A-3DF4-4058-A279-29D302572138}"/>
    <cellStyle name="40% - Accent2 2 2 2 8" xfId="8788" xr:uid="{BE18FB8E-31EC-4004-8FB3-F5F11F54994A}"/>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1B9D10EB-297D-4210-900B-E79A7BADAE08}"/>
    <cellStyle name="40% - Accent2 2 2 3 2 3" xfId="11346" xr:uid="{8A75D672-A620-4C7A-A81E-726C191162D7}"/>
    <cellStyle name="40% - Accent2 2 2 3 3" xfId="4977" xr:uid="{00000000-0005-0000-0000-00007B040000}"/>
    <cellStyle name="40% - Accent2 2 2 3 3 2" xfId="13419" xr:uid="{84F0DCD8-00F9-467B-A5AF-22A36ED2AAE4}"/>
    <cellStyle name="40% - Accent2 2 2 3 4" xfId="9201" xr:uid="{84345C6E-5ABC-4A74-949D-23B290FC13D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52CC2E7F-37FE-47D5-B89D-E609E0BDA889}"/>
    <cellStyle name="40% - Accent2 2 2 4 2 3" xfId="11759" xr:uid="{54CD375D-1255-40BE-8345-A2E4F7356754}"/>
    <cellStyle name="40% - Accent2 2 2 4 3" xfId="5390" xr:uid="{00000000-0005-0000-0000-00007F040000}"/>
    <cellStyle name="40% - Accent2 2 2 4 3 2" xfId="13832" xr:uid="{0C83C31D-77D0-4F37-A150-D1EB162BB04F}"/>
    <cellStyle name="40% - Accent2 2 2 4 4" xfId="9614" xr:uid="{9AFB975B-69E6-42C0-AA4F-7CBDEA131FB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F98823A0-AE9E-409B-AF9C-0FC789D0C673}"/>
    <cellStyle name="40% - Accent2 2 2 5 2 3" xfId="12172" xr:uid="{D31564D4-F547-4BA8-976A-E5E318F6FFF9}"/>
    <cellStyle name="40% - Accent2 2 2 5 3" xfId="5803" xr:uid="{00000000-0005-0000-0000-000083040000}"/>
    <cellStyle name="40% - Accent2 2 2 5 3 2" xfId="14245" xr:uid="{30AC924F-1C7F-446B-902E-95AA144464AE}"/>
    <cellStyle name="40% - Accent2 2 2 5 4" xfId="10027" xr:uid="{9D1D09DC-29B3-484B-BD6D-FC0D86624CB5}"/>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73AC96C1-CEA4-45F7-9DCD-5DE99A72C3CC}"/>
    <cellStyle name="40% - Accent2 2 2 6 2 3" xfId="12585" xr:uid="{9620A246-056D-43F4-B519-B5E0A1A21BCD}"/>
    <cellStyle name="40% - Accent2 2 2 6 3" xfId="6216" xr:uid="{00000000-0005-0000-0000-000087040000}"/>
    <cellStyle name="40% - Accent2 2 2 6 3 2" xfId="14658" xr:uid="{499D83CC-A5BF-4F29-8503-351F6C0B4725}"/>
    <cellStyle name="40% - Accent2 2 2 6 4" xfId="10440" xr:uid="{054B2804-D45D-4E44-BB2B-27E63080AD75}"/>
    <cellStyle name="40% - Accent2 2 2 7" xfId="2322" xr:uid="{00000000-0005-0000-0000-000088040000}"/>
    <cellStyle name="40% - Accent2 2 2 7 2" xfId="6629" xr:uid="{00000000-0005-0000-0000-000089040000}"/>
    <cellStyle name="40% - Accent2 2 2 7 2 2" xfId="15071" xr:uid="{8D9C053D-3137-460A-A5BB-ED9405F9CDDB}"/>
    <cellStyle name="40% - Accent2 2 2 7 3" xfId="10853" xr:uid="{25CEA2CA-3AFB-47FE-8FF8-7C4E8E1F8A60}"/>
    <cellStyle name="40% - Accent2 2 2 8" xfId="4563" xr:uid="{00000000-0005-0000-0000-00008A040000}"/>
    <cellStyle name="40% - Accent2 2 2 8 2" xfId="13005" xr:uid="{4AC8396C-B7C9-422F-973A-4601F7F954F1}"/>
    <cellStyle name="40% - Accent2 2 2 9" xfId="8787" xr:uid="{E217331A-B5AB-453F-81D1-AC166B5678F6}"/>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11A45EB6-27A8-4862-80E0-4C59F2D3EB3D}"/>
    <cellStyle name="40% - Accent2 2 3 2 2 3" xfId="11348" xr:uid="{8D7C73A5-80F0-4A1F-B916-EECE97510143}"/>
    <cellStyle name="40% - Accent2 2 3 2 3" xfId="4979" xr:uid="{00000000-0005-0000-0000-00008F040000}"/>
    <cellStyle name="40% - Accent2 2 3 2 3 2" xfId="13421" xr:uid="{02F2F306-EBC6-4DBA-B07C-B50C59C669A1}"/>
    <cellStyle name="40% - Accent2 2 3 2 4" xfId="9203" xr:uid="{A16280AB-1243-4E42-8D36-4FE36AFC638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A0E9755D-10B0-4BD6-BCFE-118F0561C375}"/>
    <cellStyle name="40% - Accent2 2 3 3 2 3" xfId="11761" xr:uid="{BCABC7C5-2544-4D16-BD1C-7F0FF36C9F50}"/>
    <cellStyle name="40% - Accent2 2 3 3 3" xfId="5392" xr:uid="{00000000-0005-0000-0000-000093040000}"/>
    <cellStyle name="40% - Accent2 2 3 3 3 2" xfId="13834" xr:uid="{73F3B2B2-0010-4C44-A10A-6F9B1FB6C904}"/>
    <cellStyle name="40% - Accent2 2 3 3 4" xfId="9616" xr:uid="{5CCEFA76-FB0E-4F8A-852D-F594F5846AD4}"/>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C7FB2FCF-48B3-4875-B7CA-52B7459ACBBA}"/>
    <cellStyle name="40% - Accent2 2 3 4 2 3" xfId="12174" xr:uid="{19A0BE4C-6ACF-4C9F-9259-A73750244178}"/>
    <cellStyle name="40% - Accent2 2 3 4 3" xfId="5805" xr:uid="{00000000-0005-0000-0000-000097040000}"/>
    <cellStyle name="40% - Accent2 2 3 4 3 2" xfId="14247" xr:uid="{8E85386D-04E1-45F4-B563-0AB028324B6A}"/>
    <cellStyle name="40% - Accent2 2 3 4 4" xfId="10029" xr:uid="{462B409A-E74B-4622-8EEE-FEB52060F219}"/>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0F629C38-AA9E-4432-B089-950564A00CF6}"/>
    <cellStyle name="40% - Accent2 2 3 5 2 3" xfId="12587" xr:uid="{53844D02-85DB-4CB0-816B-0FCEB1E8374A}"/>
    <cellStyle name="40% - Accent2 2 3 5 3" xfId="6218" xr:uid="{00000000-0005-0000-0000-00009B040000}"/>
    <cellStyle name="40% - Accent2 2 3 5 3 2" xfId="14660" xr:uid="{BDE9C89F-4ECE-4F4D-A07B-7F2EFBF95A72}"/>
    <cellStyle name="40% - Accent2 2 3 5 4" xfId="10442" xr:uid="{61F9429D-949D-4911-8A9E-277213661F12}"/>
    <cellStyle name="40% - Accent2 2 3 6" xfId="2324" xr:uid="{00000000-0005-0000-0000-00009C040000}"/>
    <cellStyle name="40% - Accent2 2 3 6 2" xfId="6631" xr:uid="{00000000-0005-0000-0000-00009D040000}"/>
    <cellStyle name="40% - Accent2 2 3 6 2 2" xfId="15073" xr:uid="{9DC7AE74-1315-49D8-B13C-4F5C27A7A71B}"/>
    <cellStyle name="40% - Accent2 2 3 6 3" xfId="10855" xr:uid="{7489CBB2-D54A-4662-ACFB-E75B263ADC0B}"/>
    <cellStyle name="40% - Accent2 2 3 7" xfId="4565" xr:uid="{00000000-0005-0000-0000-00009E040000}"/>
    <cellStyle name="40% - Accent2 2 3 7 2" xfId="13007" xr:uid="{7CE3406B-5B71-470E-AD3E-5E0D168BEDFA}"/>
    <cellStyle name="40% - Accent2 2 3 8" xfId="8789" xr:uid="{5B04443D-A6A2-4A2F-BAB6-1988AA45DB82}"/>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9152FF6E-19D4-4370-B0C6-378E3C958CD0}"/>
    <cellStyle name="40% - Accent2 2 4 2 3" xfId="11345" xr:uid="{83669B62-1101-48B5-A993-D829BF717D22}"/>
    <cellStyle name="40% - Accent2 2 4 3" xfId="4976" xr:uid="{00000000-0005-0000-0000-0000A2040000}"/>
    <cellStyle name="40% - Accent2 2 4 3 2" xfId="13418" xr:uid="{FB7C89AE-970B-44BE-A2F2-813AFF7FE162}"/>
    <cellStyle name="40% - Accent2 2 4 4" xfId="9200" xr:uid="{1F58B8D1-C295-4C13-B2AD-809A5E4A3A51}"/>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040BE320-65EB-4F36-B71F-42BE957FD1E8}"/>
    <cellStyle name="40% - Accent2 2 5 2 3" xfId="11758" xr:uid="{12FCACB2-45F3-4E64-8EA8-64F58E715D3F}"/>
    <cellStyle name="40% - Accent2 2 5 3" xfId="5389" xr:uid="{00000000-0005-0000-0000-0000A6040000}"/>
    <cellStyle name="40% - Accent2 2 5 3 2" xfId="13831" xr:uid="{C4E57755-3055-417C-AE89-5169965E6C06}"/>
    <cellStyle name="40% - Accent2 2 5 4" xfId="9613" xr:uid="{BE61732B-1434-4D9D-8689-14A1B68B1691}"/>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B3DE1E71-94BD-4A76-BE22-FE625556C554}"/>
    <cellStyle name="40% - Accent2 2 6 2 3" xfId="12171" xr:uid="{C13EC75E-74FB-4329-8570-27F39B206CA7}"/>
    <cellStyle name="40% - Accent2 2 6 3" xfId="5802" xr:uid="{00000000-0005-0000-0000-0000AA040000}"/>
    <cellStyle name="40% - Accent2 2 6 3 2" xfId="14244" xr:uid="{E0AE82C3-FFC8-460A-BBC3-629F11E43CD2}"/>
    <cellStyle name="40% - Accent2 2 6 4" xfId="10026" xr:uid="{AA8C772C-9B52-4F63-98F8-3D575DEB356A}"/>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26F364D5-672A-42AD-B066-B853CCE7DD2A}"/>
    <cellStyle name="40% - Accent2 2 7 2 3" xfId="12584" xr:uid="{884E8CB6-F383-4579-98F0-F312C4A8E330}"/>
    <cellStyle name="40% - Accent2 2 7 3" xfId="6215" xr:uid="{00000000-0005-0000-0000-0000AE040000}"/>
    <cellStyle name="40% - Accent2 2 7 3 2" xfId="14657" xr:uid="{E1972EFA-1065-42D7-AA86-4F9C879A832D}"/>
    <cellStyle name="40% - Accent2 2 7 4" xfId="10439" xr:uid="{A78606D7-BE69-4C07-AF29-12674433B825}"/>
    <cellStyle name="40% - Accent2 2 8" xfId="2321" xr:uid="{00000000-0005-0000-0000-0000AF040000}"/>
    <cellStyle name="40% - Accent2 2 8 2" xfId="6628" xr:uid="{00000000-0005-0000-0000-0000B0040000}"/>
    <cellStyle name="40% - Accent2 2 8 2 2" xfId="15070" xr:uid="{8B85680B-8CFD-4F73-B289-76EC1E0F459C}"/>
    <cellStyle name="40% - Accent2 2 8 3" xfId="10852" xr:uid="{C72A80AC-9AF9-4A43-90BE-A1070B0FEC3C}"/>
    <cellStyle name="40% - Accent2 2 9" xfId="4562" xr:uid="{00000000-0005-0000-0000-0000B1040000}"/>
    <cellStyle name="40% - Accent2 2 9 2" xfId="13004" xr:uid="{2C0021E7-F908-47F6-B60D-A893535D56C1}"/>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B878E5A1-B853-4F4B-914A-23796059EDF7}"/>
    <cellStyle name="40% - Accent2 3 2 2 2 3" xfId="11350" xr:uid="{99ED044F-1A8F-48F5-9683-49B855F16973}"/>
    <cellStyle name="40% - Accent2 3 2 2 3" xfId="4981" xr:uid="{00000000-0005-0000-0000-0000B7040000}"/>
    <cellStyle name="40% - Accent2 3 2 2 3 2" xfId="13423" xr:uid="{392E84F5-9639-4D7E-8834-DD5647A9CAD8}"/>
    <cellStyle name="40% - Accent2 3 2 2 4" xfId="9205" xr:uid="{80E1DE09-C4E9-4B9F-8A02-2A046137107B}"/>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6E43B2FB-34FB-4979-A261-A7888B342142}"/>
    <cellStyle name="40% - Accent2 3 2 3 2 3" xfId="11763" xr:uid="{4A57081E-DB45-4C92-B1E9-5F8DB591D8DA}"/>
    <cellStyle name="40% - Accent2 3 2 3 3" xfId="5394" xr:uid="{00000000-0005-0000-0000-0000BB040000}"/>
    <cellStyle name="40% - Accent2 3 2 3 3 2" xfId="13836" xr:uid="{725604F0-ABD8-4AB6-8830-06C04E2AFB4D}"/>
    <cellStyle name="40% - Accent2 3 2 3 4" xfId="9618" xr:uid="{5B74DA54-8A82-424B-916F-D8B9C40D34D6}"/>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9A9FC185-0056-49F4-ABBD-ACB69A0BD802}"/>
    <cellStyle name="40% - Accent2 3 2 4 2 3" xfId="12176" xr:uid="{4AD7B27C-64AC-4004-BF2F-47EACE45B477}"/>
    <cellStyle name="40% - Accent2 3 2 4 3" xfId="5807" xr:uid="{00000000-0005-0000-0000-0000BF040000}"/>
    <cellStyle name="40% - Accent2 3 2 4 3 2" xfId="14249" xr:uid="{3918C08B-9CE8-4BE1-9736-03B65AC7BB33}"/>
    <cellStyle name="40% - Accent2 3 2 4 4" xfId="10031" xr:uid="{17A4C2F6-2E07-4AE7-82A6-7B4863F24E2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7069D8D1-8B1C-47E4-9E72-7677E7DF8B52}"/>
    <cellStyle name="40% - Accent2 3 2 5 2 3" xfId="12589" xr:uid="{AB0114AB-BDC4-49CA-BB60-45B5AF088C59}"/>
    <cellStyle name="40% - Accent2 3 2 5 3" xfId="6220" xr:uid="{00000000-0005-0000-0000-0000C3040000}"/>
    <cellStyle name="40% - Accent2 3 2 5 3 2" xfId="14662" xr:uid="{F93EC2A1-E563-42E8-835C-34929792AC8B}"/>
    <cellStyle name="40% - Accent2 3 2 5 4" xfId="10444" xr:uid="{21BFF6EF-B3AE-4167-B70B-25AB5FCBC85C}"/>
    <cellStyle name="40% - Accent2 3 2 6" xfId="2326" xr:uid="{00000000-0005-0000-0000-0000C4040000}"/>
    <cellStyle name="40% - Accent2 3 2 6 2" xfId="6633" xr:uid="{00000000-0005-0000-0000-0000C5040000}"/>
    <cellStyle name="40% - Accent2 3 2 6 2 2" xfId="15075" xr:uid="{85378934-8F46-4FBD-87E2-1DCDE07E9A8A}"/>
    <cellStyle name="40% - Accent2 3 2 6 3" xfId="10857" xr:uid="{2D61FB34-DC19-4CDD-8DCF-E4AE924023AA}"/>
    <cellStyle name="40% - Accent2 3 2 7" xfId="4567" xr:uid="{00000000-0005-0000-0000-0000C6040000}"/>
    <cellStyle name="40% - Accent2 3 2 7 2" xfId="13009" xr:uid="{EB7C3B70-4B34-44E0-B145-86CC8A636AEC}"/>
    <cellStyle name="40% - Accent2 3 2 8" xfId="8791" xr:uid="{B9E0454C-383E-452B-8840-3F845B2BAF29}"/>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AF7C47E3-0CEA-4B7A-A3A7-81DB65ABDA62}"/>
    <cellStyle name="40% - Accent2 3 3 2 3" xfId="11349" xr:uid="{9636B771-875D-46AC-89E9-40BA3DB378E9}"/>
    <cellStyle name="40% - Accent2 3 3 3" xfId="4980" xr:uid="{00000000-0005-0000-0000-0000CA040000}"/>
    <cellStyle name="40% - Accent2 3 3 3 2" xfId="13422" xr:uid="{F22A4F61-F835-4900-9ACF-2059CBC8694A}"/>
    <cellStyle name="40% - Accent2 3 3 4" xfId="9204" xr:uid="{A6581ACA-D836-4317-A8A7-9AC960D4D25B}"/>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F475BE87-4BFA-4221-AA27-3A76E630C983}"/>
    <cellStyle name="40% - Accent2 3 4 2 3" xfId="11762" xr:uid="{2FFC52D2-73D9-4DD1-A462-972A98982008}"/>
    <cellStyle name="40% - Accent2 3 4 3" xfId="5393" xr:uid="{00000000-0005-0000-0000-0000CE040000}"/>
    <cellStyle name="40% - Accent2 3 4 3 2" xfId="13835" xr:uid="{29B64670-A8BE-4CBF-83F9-C5ECAE58B051}"/>
    <cellStyle name="40% - Accent2 3 4 4" xfId="9617" xr:uid="{7032E77A-EACA-4DDD-82E9-D00BEFC66859}"/>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CA5349C8-E9BE-4759-A2AA-A48FDA46B245}"/>
    <cellStyle name="40% - Accent2 3 5 2 3" xfId="12175" xr:uid="{F6E66E27-440F-4C7A-8767-DB45DC7579E4}"/>
    <cellStyle name="40% - Accent2 3 5 3" xfId="5806" xr:uid="{00000000-0005-0000-0000-0000D2040000}"/>
    <cellStyle name="40% - Accent2 3 5 3 2" xfId="14248" xr:uid="{80E9EC47-5B0A-4061-B203-B036A982D94D}"/>
    <cellStyle name="40% - Accent2 3 5 4" xfId="10030" xr:uid="{9214231C-8CE5-4413-85BD-1B6964BFD82D}"/>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132C0FE6-8EAF-46C6-B75F-F89283C0C431}"/>
    <cellStyle name="40% - Accent2 3 6 2 3" xfId="12588" xr:uid="{13D20FB3-F5F9-4B74-8BFF-1EA99B7815A2}"/>
    <cellStyle name="40% - Accent2 3 6 3" xfId="6219" xr:uid="{00000000-0005-0000-0000-0000D6040000}"/>
    <cellStyle name="40% - Accent2 3 6 3 2" xfId="14661" xr:uid="{45F4F0F5-9837-4036-96B5-A0CE7208656E}"/>
    <cellStyle name="40% - Accent2 3 6 4" xfId="10443" xr:uid="{F664D777-DB41-42DD-857C-86434429EC0A}"/>
    <cellStyle name="40% - Accent2 3 7" xfId="2325" xr:uid="{00000000-0005-0000-0000-0000D7040000}"/>
    <cellStyle name="40% - Accent2 3 7 2" xfId="6632" xr:uid="{00000000-0005-0000-0000-0000D8040000}"/>
    <cellStyle name="40% - Accent2 3 7 2 2" xfId="15074" xr:uid="{BDF49168-0169-4680-A886-03F13BF25B18}"/>
    <cellStyle name="40% - Accent2 3 7 3" xfId="10856" xr:uid="{9D08D106-12EE-4A59-BC09-2C88032DF7AF}"/>
    <cellStyle name="40% - Accent2 3 8" xfId="4566" xr:uid="{00000000-0005-0000-0000-0000D9040000}"/>
    <cellStyle name="40% - Accent2 3 8 2" xfId="13008" xr:uid="{0C1EDF1B-487E-40CF-801D-06107CAE7FE3}"/>
    <cellStyle name="40% - Accent2 3 9" xfId="8790" xr:uid="{83610D03-FD60-4E6D-BA64-CFF0E7EB1912}"/>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1857F01-A6E0-4C5D-9E22-C995BAA5760B}"/>
    <cellStyle name="40% - Accent2 4 2 2 3" xfId="11351" xr:uid="{6E44A233-6359-439E-B7DA-0D298AE004B2}"/>
    <cellStyle name="40% - Accent2 4 2 3" xfId="4982" xr:uid="{00000000-0005-0000-0000-0000DE040000}"/>
    <cellStyle name="40% - Accent2 4 2 3 2" xfId="13424" xr:uid="{FFF632B9-4D2D-4B2D-B07C-5D8CECFB5D1E}"/>
    <cellStyle name="40% - Accent2 4 2 4" xfId="9206" xr:uid="{CFD7E216-9E6C-4749-8B64-545A8BCC5E12}"/>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8F23B9FF-9CB4-45B1-BF5C-53649DFD3BD0}"/>
    <cellStyle name="40% - Accent2 4 3 2 3" xfId="11764" xr:uid="{EFFF25F3-7BFB-4C17-B80E-31EC3B36230E}"/>
    <cellStyle name="40% - Accent2 4 3 3" xfId="5395" xr:uid="{00000000-0005-0000-0000-0000E2040000}"/>
    <cellStyle name="40% - Accent2 4 3 3 2" xfId="13837" xr:uid="{4DFB6544-DA1F-468C-9001-752E3908CB81}"/>
    <cellStyle name="40% - Accent2 4 3 4" xfId="9619" xr:uid="{E4D8883C-70DC-4027-9051-E652A7DAC3FB}"/>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84F2EEA7-61A7-4CBB-A654-2B0D96F19229}"/>
    <cellStyle name="40% - Accent2 4 4 2 3" xfId="12177" xr:uid="{B94B81A4-2234-4070-8259-5FEE36D6FC08}"/>
    <cellStyle name="40% - Accent2 4 4 3" xfId="5808" xr:uid="{00000000-0005-0000-0000-0000E6040000}"/>
    <cellStyle name="40% - Accent2 4 4 3 2" xfId="14250" xr:uid="{E58100F4-84D4-46B6-AF54-B9CE36729D05}"/>
    <cellStyle name="40% - Accent2 4 4 4" xfId="10032" xr:uid="{B592E202-A02F-4458-AF9E-B6CBF97D6207}"/>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9C3A5FE6-5E5F-47FC-A3D6-8D93A2D1E742}"/>
    <cellStyle name="40% - Accent2 4 5 2 3" xfId="12590" xr:uid="{1C9072C0-ED79-4C1B-B626-6E691FA63D68}"/>
    <cellStyle name="40% - Accent2 4 5 3" xfId="6221" xr:uid="{00000000-0005-0000-0000-0000EA040000}"/>
    <cellStyle name="40% - Accent2 4 5 3 2" xfId="14663" xr:uid="{1C5B9C39-512E-47DF-A540-C9342EFCF85D}"/>
    <cellStyle name="40% - Accent2 4 5 4" xfId="10445" xr:uid="{CE87DB2C-DF2F-4CBA-90D4-08CD28A547D3}"/>
    <cellStyle name="40% - Accent2 4 6" xfId="2327" xr:uid="{00000000-0005-0000-0000-0000EB040000}"/>
    <cellStyle name="40% - Accent2 4 6 2" xfId="6634" xr:uid="{00000000-0005-0000-0000-0000EC040000}"/>
    <cellStyle name="40% - Accent2 4 6 2 2" xfId="15076" xr:uid="{F749E96F-0C19-4CD7-96C8-9222624798CD}"/>
    <cellStyle name="40% - Accent2 4 6 3" xfId="10858" xr:uid="{D088A565-F655-47AA-A6F0-D0A06FD27542}"/>
    <cellStyle name="40% - Accent2 4 7" xfId="4568" xr:uid="{00000000-0005-0000-0000-0000ED040000}"/>
    <cellStyle name="40% - Accent2 4 7 2" xfId="13010" xr:uid="{7FC4307B-BB56-473F-8966-9EC3F833FD0F}"/>
    <cellStyle name="40% - Accent2 4 8" xfId="8792" xr:uid="{AD4DCDFB-BE52-4731-9887-0A72C01AE219}"/>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C54F0ABD-C689-45B0-9418-5C4C9BF4AAC9}"/>
    <cellStyle name="40% - Accent2 5 2 3" xfId="11344" xr:uid="{4C96B6BB-6485-444C-8220-ED67620D0769}"/>
    <cellStyle name="40% - Accent2 5 3" xfId="4975" xr:uid="{00000000-0005-0000-0000-0000F1040000}"/>
    <cellStyle name="40% - Accent2 5 3 2" xfId="13417" xr:uid="{4256DDD1-C5D1-48D5-B672-9F028160ABFC}"/>
    <cellStyle name="40% - Accent2 5 4" xfId="9199" xr:uid="{AB03E2C2-32E9-463C-9E62-3A8FA96A3A97}"/>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BC7BB922-38B1-4DF6-A38D-8882C8B456D9}"/>
    <cellStyle name="40% - Accent2 6 2 3" xfId="11757" xr:uid="{1C1E3D0A-A1DB-4AE0-B0AD-F41245DD6890}"/>
    <cellStyle name="40% - Accent2 6 3" xfId="5388" xr:uid="{00000000-0005-0000-0000-0000F5040000}"/>
    <cellStyle name="40% - Accent2 6 3 2" xfId="13830" xr:uid="{9FD168C0-F408-4845-BB77-F21677172EE8}"/>
    <cellStyle name="40% - Accent2 6 4" xfId="9612" xr:uid="{2392A42B-A748-41D1-BFC9-A9A7F7113877}"/>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D1A41032-4AA1-4E36-8EB2-5FEC7FFABA91}"/>
    <cellStyle name="40% - Accent2 7 2 3" xfId="12170" xr:uid="{1F3DBC33-97D8-4637-B659-E7AD2FD68421}"/>
    <cellStyle name="40% - Accent2 7 3" xfId="5801" xr:uid="{00000000-0005-0000-0000-0000F9040000}"/>
    <cellStyle name="40% - Accent2 7 3 2" xfId="14243" xr:uid="{D4BB49B3-F8A3-4C8D-8745-8B212C9DE529}"/>
    <cellStyle name="40% - Accent2 7 4" xfId="10025" xr:uid="{DF4E9E78-52B1-42E5-A201-C487F08D31DD}"/>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0102C16F-7C66-42BF-81E1-876AF564E7A7}"/>
    <cellStyle name="40% - Accent2 8 2 3" xfId="12583" xr:uid="{B566043B-0724-4763-81D2-6FB6A79C5110}"/>
    <cellStyle name="40% - Accent2 8 3" xfId="6214" xr:uid="{00000000-0005-0000-0000-0000FD040000}"/>
    <cellStyle name="40% - Accent2 8 3 2" xfId="14656" xr:uid="{2E4794D7-5D14-4B48-A0C2-A292B009F532}"/>
    <cellStyle name="40% - Accent2 8 4" xfId="10438" xr:uid="{0F9F2285-FB9A-430D-B419-5882D59C0971}"/>
    <cellStyle name="40% - Accent2 9" xfId="2320" xr:uid="{00000000-0005-0000-0000-0000FE040000}"/>
    <cellStyle name="40% - Accent2 9 2" xfId="6627" xr:uid="{00000000-0005-0000-0000-0000FF040000}"/>
    <cellStyle name="40% - Accent2 9 2 2" xfId="15069" xr:uid="{5D9F1174-8042-4880-ADB4-38CAB943EB60}"/>
    <cellStyle name="40% - Accent2 9 3" xfId="10851" xr:uid="{F9AF286C-9E4F-464D-BEB1-D12721C09E5C}"/>
    <cellStyle name="40% - Accent3" xfId="65" builtinId="39" customBuiltin="1"/>
    <cellStyle name="40% - Accent3 10" xfId="4569" xr:uid="{00000000-0005-0000-0000-000001050000}"/>
    <cellStyle name="40% - Accent3 10 2" xfId="13011" xr:uid="{9AFC8F48-6368-49F3-9DBD-D904DE6DF515}"/>
    <cellStyle name="40% - Accent3 11" xfId="8793" xr:uid="{1AAABD1E-1FC9-434A-B90F-65295C2B3884}"/>
    <cellStyle name="40% - Accent3 2" xfId="66" xr:uid="{00000000-0005-0000-0000-000002050000}"/>
    <cellStyle name="40% - Accent3 2 10" xfId="8794" xr:uid="{97A55C32-4473-44D8-B10E-12749D84DE7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CAF0090E-5245-4E36-98FF-A4DDE1A4478A}"/>
    <cellStyle name="40% - Accent3 2 2 2 2 2 3" xfId="11355" xr:uid="{B9E108CB-0423-410D-B562-F09B6871E61D}"/>
    <cellStyle name="40% - Accent3 2 2 2 2 3" xfId="4986" xr:uid="{00000000-0005-0000-0000-000008050000}"/>
    <cellStyle name="40% - Accent3 2 2 2 2 3 2" xfId="13428" xr:uid="{E46AFBE3-0E2C-4A0F-A115-FD83998A734A}"/>
    <cellStyle name="40% - Accent3 2 2 2 2 4" xfId="9210" xr:uid="{4474562C-6FE4-4C9C-89FE-0792C7ECC92C}"/>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5ED7D6CF-8E26-4400-B4FA-FEA4688A7B87}"/>
    <cellStyle name="40% - Accent3 2 2 2 3 2 3" xfId="11768" xr:uid="{10766009-BA01-4067-829F-0583FC8C53ED}"/>
    <cellStyle name="40% - Accent3 2 2 2 3 3" xfId="5399" xr:uid="{00000000-0005-0000-0000-00000C050000}"/>
    <cellStyle name="40% - Accent3 2 2 2 3 3 2" xfId="13841" xr:uid="{0E4EB032-BADD-4F76-BB5D-17E798F49AA5}"/>
    <cellStyle name="40% - Accent3 2 2 2 3 4" xfId="9623" xr:uid="{BB9116DE-FDC6-439D-9F91-1460079D133D}"/>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11282A13-5752-49F2-B8F8-B1440B5DA037}"/>
    <cellStyle name="40% - Accent3 2 2 2 4 2 3" xfId="12181" xr:uid="{4EC2DAAF-DE27-4A21-98B7-B8C523F3C450}"/>
    <cellStyle name="40% - Accent3 2 2 2 4 3" xfId="5812" xr:uid="{00000000-0005-0000-0000-000010050000}"/>
    <cellStyle name="40% - Accent3 2 2 2 4 3 2" xfId="14254" xr:uid="{A6206E1E-05A5-4C17-980E-328869A5F034}"/>
    <cellStyle name="40% - Accent3 2 2 2 4 4" xfId="10036" xr:uid="{97DE2E6F-0996-4544-8EB7-CF7ABBAEA48E}"/>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6C9C530F-29C1-4F94-9DAB-CE180AF77F73}"/>
    <cellStyle name="40% - Accent3 2 2 2 5 2 3" xfId="12594" xr:uid="{25590548-51FB-4D85-B5CA-6680ADCDB0C2}"/>
    <cellStyle name="40% - Accent3 2 2 2 5 3" xfId="6225" xr:uid="{00000000-0005-0000-0000-000014050000}"/>
    <cellStyle name="40% - Accent3 2 2 2 5 3 2" xfId="14667" xr:uid="{5D92C149-CC21-4364-9EF9-C1FF22AB74BD}"/>
    <cellStyle name="40% - Accent3 2 2 2 5 4" xfId="10449" xr:uid="{7AD8D69D-E28B-4A35-9802-FCD37CEB5206}"/>
    <cellStyle name="40% - Accent3 2 2 2 6" xfId="2331" xr:uid="{00000000-0005-0000-0000-000015050000}"/>
    <cellStyle name="40% - Accent3 2 2 2 6 2" xfId="6638" xr:uid="{00000000-0005-0000-0000-000016050000}"/>
    <cellStyle name="40% - Accent3 2 2 2 6 2 2" xfId="15080" xr:uid="{F75EB774-2E15-4D69-89C8-C6ADFC8872B6}"/>
    <cellStyle name="40% - Accent3 2 2 2 6 3" xfId="10862" xr:uid="{15D83DC5-7B60-4E47-A3C6-D95EA8EB416C}"/>
    <cellStyle name="40% - Accent3 2 2 2 7" xfId="4572" xr:uid="{00000000-0005-0000-0000-000017050000}"/>
    <cellStyle name="40% - Accent3 2 2 2 7 2" xfId="13014" xr:uid="{A76827DB-D3DA-46AD-A549-EB172BD4E818}"/>
    <cellStyle name="40% - Accent3 2 2 2 8" xfId="8796" xr:uid="{5A30F336-73A0-4023-B2FE-F91196B65FDA}"/>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DD250F3F-0B75-45D6-9815-7ABE8A034C59}"/>
    <cellStyle name="40% - Accent3 2 2 3 2 3" xfId="11354" xr:uid="{6E77DD3C-E569-4819-90DB-40C39859436A}"/>
    <cellStyle name="40% - Accent3 2 2 3 3" xfId="4985" xr:uid="{00000000-0005-0000-0000-00001B050000}"/>
    <cellStyle name="40% - Accent3 2 2 3 3 2" xfId="13427" xr:uid="{4F6BFA26-1227-4DF5-B59C-5D2E7B4A657D}"/>
    <cellStyle name="40% - Accent3 2 2 3 4" xfId="9209" xr:uid="{CB4B6155-4E96-4F2D-8634-215EAB5C5B3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5FD500E4-641F-4143-9B79-BFA56D32179D}"/>
    <cellStyle name="40% - Accent3 2 2 4 2 3" xfId="11767" xr:uid="{B928837C-F980-4E4B-8E57-36A12798E50D}"/>
    <cellStyle name="40% - Accent3 2 2 4 3" xfId="5398" xr:uid="{00000000-0005-0000-0000-00001F050000}"/>
    <cellStyle name="40% - Accent3 2 2 4 3 2" xfId="13840" xr:uid="{F7801718-4978-49C0-B594-C3696045F1BF}"/>
    <cellStyle name="40% - Accent3 2 2 4 4" xfId="9622" xr:uid="{04E33709-F1B4-4E9F-9D9A-37C32082A6E7}"/>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9E6C3554-94C2-4E70-BC45-5886FA83B4A9}"/>
    <cellStyle name="40% - Accent3 2 2 5 2 3" xfId="12180" xr:uid="{60E81EB9-D537-4A27-A50C-DA76003A7913}"/>
    <cellStyle name="40% - Accent3 2 2 5 3" xfId="5811" xr:uid="{00000000-0005-0000-0000-000023050000}"/>
    <cellStyle name="40% - Accent3 2 2 5 3 2" xfId="14253" xr:uid="{9F6F9AD0-5DA2-469A-809D-FB00B60EF2F0}"/>
    <cellStyle name="40% - Accent3 2 2 5 4" xfId="10035" xr:uid="{892ECC75-A49C-4561-BF4F-C3B0C9F214C2}"/>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86B8677E-80E4-4842-A574-080ECE78EFDC}"/>
    <cellStyle name="40% - Accent3 2 2 6 2 3" xfId="12593" xr:uid="{7B6B566C-9329-4405-9319-F5154D46F9BC}"/>
    <cellStyle name="40% - Accent3 2 2 6 3" xfId="6224" xr:uid="{00000000-0005-0000-0000-000027050000}"/>
    <cellStyle name="40% - Accent3 2 2 6 3 2" xfId="14666" xr:uid="{34452F8D-37A9-4C2E-8862-CC521005EF1E}"/>
    <cellStyle name="40% - Accent3 2 2 6 4" xfId="10448" xr:uid="{E49783BE-2D7F-4646-BEAF-1C18865FDA8A}"/>
    <cellStyle name="40% - Accent3 2 2 7" xfId="2330" xr:uid="{00000000-0005-0000-0000-000028050000}"/>
    <cellStyle name="40% - Accent3 2 2 7 2" xfId="6637" xr:uid="{00000000-0005-0000-0000-000029050000}"/>
    <cellStyle name="40% - Accent3 2 2 7 2 2" xfId="15079" xr:uid="{D67FC5CB-2496-47C5-9EC9-534C4135C350}"/>
    <cellStyle name="40% - Accent3 2 2 7 3" xfId="10861" xr:uid="{0440B87A-E551-4560-8270-BC38973EE529}"/>
    <cellStyle name="40% - Accent3 2 2 8" xfId="4571" xr:uid="{00000000-0005-0000-0000-00002A050000}"/>
    <cellStyle name="40% - Accent3 2 2 8 2" xfId="13013" xr:uid="{2A40282C-A470-4EBE-8FD0-364CD5CD2BCE}"/>
    <cellStyle name="40% - Accent3 2 2 9" xfId="8795" xr:uid="{ED0BADB7-7F6D-4A14-919E-D2354C3272FE}"/>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D907D914-811D-4222-9FAF-AF2EA192FC2A}"/>
    <cellStyle name="40% - Accent3 2 3 2 2 3" xfId="11356" xr:uid="{D30EB52A-411F-456C-ADB9-08DDA8643D6C}"/>
    <cellStyle name="40% - Accent3 2 3 2 3" xfId="4987" xr:uid="{00000000-0005-0000-0000-00002F050000}"/>
    <cellStyle name="40% - Accent3 2 3 2 3 2" xfId="13429" xr:uid="{B094B005-A28F-40D3-82AF-5D2292E46686}"/>
    <cellStyle name="40% - Accent3 2 3 2 4" xfId="9211" xr:uid="{C4C46CD3-574B-4ABC-AF8C-738CB78C88A7}"/>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B1AC0722-7208-4A44-B9E8-F0CE34DD985D}"/>
    <cellStyle name="40% - Accent3 2 3 3 2 3" xfId="11769" xr:uid="{262A439E-AECB-487A-93A9-236FB810FE9C}"/>
    <cellStyle name="40% - Accent3 2 3 3 3" xfId="5400" xr:uid="{00000000-0005-0000-0000-000033050000}"/>
    <cellStyle name="40% - Accent3 2 3 3 3 2" xfId="13842" xr:uid="{09A2E8B3-1B55-4583-94B7-BDECBA72FD4A}"/>
    <cellStyle name="40% - Accent3 2 3 3 4" xfId="9624" xr:uid="{2F744394-0605-4F97-B77A-DDC95D0A9AEE}"/>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5F3FD450-F36A-4149-B4BD-751F7EEB07DD}"/>
    <cellStyle name="40% - Accent3 2 3 4 2 3" xfId="12182" xr:uid="{29DF194E-F751-47ED-BC39-175A6CDE601B}"/>
    <cellStyle name="40% - Accent3 2 3 4 3" xfId="5813" xr:uid="{00000000-0005-0000-0000-000037050000}"/>
    <cellStyle name="40% - Accent3 2 3 4 3 2" xfId="14255" xr:uid="{40862EF6-A61F-4D6B-A12F-377C87451EE2}"/>
    <cellStyle name="40% - Accent3 2 3 4 4" xfId="10037" xr:uid="{4A75C333-1E17-49C0-9F3A-9EFDEC37B290}"/>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5E417776-8DA7-41B0-8AF3-E58F299F1EB4}"/>
    <cellStyle name="40% - Accent3 2 3 5 2 3" xfId="12595" xr:uid="{7D4E30E8-54BA-4AAE-860F-7A5F070A1464}"/>
    <cellStyle name="40% - Accent3 2 3 5 3" xfId="6226" xr:uid="{00000000-0005-0000-0000-00003B050000}"/>
    <cellStyle name="40% - Accent3 2 3 5 3 2" xfId="14668" xr:uid="{CF4F54E3-C08F-47BE-81FB-17BBB0EDA146}"/>
    <cellStyle name="40% - Accent3 2 3 5 4" xfId="10450" xr:uid="{6ACFE130-6AC7-405F-BC03-7AC8C8A408F0}"/>
    <cellStyle name="40% - Accent3 2 3 6" xfId="2332" xr:uid="{00000000-0005-0000-0000-00003C050000}"/>
    <cellStyle name="40% - Accent3 2 3 6 2" xfId="6639" xr:uid="{00000000-0005-0000-0000-00003D050000}"/>
    <cellStyle name="40% - Accent3 2 3 6 2 2" xfId="15081" xr:uid="{8764B9DA-434B-4FA4-B731-A15DAC84455C}"/>
    <cellStyle name="40% - Accent3 2 3 6 3" xfId="10863" xr:uid="{61419F31-7517-4C21-9A09-3450FCCF39D4}"/>
    <cellStyle name="40% - Accent3 2 3 7" xfId="4573" xr:uid="{00000000-0005-0000-0000-00003E050000}"/>
    <cellStyle name="40% - Accent3 2 3 7 2" xfId="13015" xr:uid="{F6ED7A9D-E31E-42C6-902D-A55CC81FED8D}"/>
    <cellStyle name="40% - Accent3 2 3 8" xfId="8797" xr:uid="{1057BE32-8F6F-4FF5-B1C4-EE544362327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F3BA6672-0B6E-4822-A60B-E776CF31B20E}"/>
    <cellStyle name="40% - Accent3 2 4 2 3" xfId="11353" xr:uid="{0516C191-6AFB-407F-9D7A-ED3DC28532BC}"/>
    <cellStyle name="40% - Accent3 2 4 3" xfId="4984" xr:uid="{00000000-0005-0000-0000-000042050000}"/>
    <cellStyle name="40% - Accent3 2 4 3 2" xfId="13426" xr:uid="{2D063D8A-907D-4E6E-B3D1-A82594CFC016}"/>
    <cellStyle name="40% - Accent3 2 4 4" xfId="9208" xr:uid="{0FAF1B97-8715-4228-8AEE-C047CE4F83E7}"/>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C68AB8EA-3A8C-4A41-A892-47BABF0080C0}"/>
    <cellStyle name="40% - Accent3 2 5 2 3" xfId="11766" xr:uid="{228673BF-D6BA-40A4-869A-6D4D1FB24F04}"/>
    <cellStyle name="40% - Accent3 2 5 3" xfId="5397" xr:uid="{00000000-0005-0000-0000-000046050000}"/>
    <cellStyle name="40% - Accent3 2 5 3 2" xfId="13839" xr:uid="{2ACA4FEC-F3AD-4DA8-8E29-1BBD10E9B12E}"/>
    <cellStyle name="40% - Accent3 2 5 4" xfId="9621" xr:uid="{69ED2A6E-2F9F-43B9-ADE1-6BB6E99FE20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167D0254-B13B-445C-A076-D788A074BB12}"/>
    <cellStyle name="40% - Accent3 2 6 2 3" xfId="12179" xr:uid="{D490FB3E-81C9-4797-AF60-FF30D040EE16}"/>
    <cellStyle name="40% - Accent3 2 6 3" xfId="5810" xr:uid="{00000000-0005-0000-0000-00004A050000}"/>
    <cellStyle name="40% - Accent3 2 6 3 2" xfId="14252" xr:uid="{BCE395BA-572C-4593-B355-10F076269C8B}"/>
    <cellStyle name="40% - Accent3 2 6 4" xfId="10034" xr:uid="{D75B461E-CC11-4104-87FF-BD40D1965298}"/>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C0094FC1-E142-446D-96C2-1E27FBA3C363}"/>
    <cellStyle name="40% - Accent3 2 7 2 3" xfId="12592" xr:uid="{C073F327-F6E3-4851-A6CE-426C516D59B8}"/>
    <cellStyle name="40% - Accent3 2 7 3" xfId="6223" xr:uid="{00000000-0005-0000-0000-00004E050000}"/>
    <cellStyle name="40% - Accent3 2 7 3 2" xfId="14665" xr:uid="{B4FEE68A-F1B7-49EE-A4B0-BCE0762DC069}"/>
    <cellStyle name="40% - Accent3 2 7 4" xfId="10447" xr:uid="{E766D71B-FE72-4FE3-9137-D7EDBB298873}"/>
    <cellStyle name="40% - Accent3 2 8" xfId="2329" xr:uid="{00000000-0005-0000-0000-00004F050000}"/>
    <cellStyle name="40% - Accent3 2 8 2" xfId="6636" xr:uid="{00000000-0005-0000-0000-000050050000}"/>
    <cellStyle name="40% - Accent3 2 8 2 2" xfId="15078" xr:uid="{7DAF3212-9186-4879-A2E6-22069EE54C7D}"/>
    <cellStyle name="40% - Accent3 2 8 3" xfId="10860" xr:uid="{55E803AD-B475-495C-A27C-337878EBB4AF}"/>
    <cellStyle name="40% - Accent3 2 9" xfId="4570" xr:uid="{00000000-0005-0000-0000-000051050000}"/>
    <cellStyle name="40% - Accent3 2 9 2" xfId="13012" xr:uid="{D4BA3DE6-4754-4444-86E9-012BC1C4F11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5E3D6AB0-76C2-4A3D-83B5-C37B2269E69B}"/>
    <cellStyle name="40% - Accent3 3 2 2 2 3" xfId="11358" xr:uid="{A781BE34-DED3-4E70-AD6D-40FC50B3D42C}"/>
    <cellStyle name="40% - Accent3 3 2 2 3" xfId="4989" xr:uid="{00000000-0005-0000-0000-000057050000}"/>
    <cellStyle name="40% - Accent3 3 2 2 3 2" xfId="13431" xr:uid="{A033ACFC-E4C5-4208-A13A-5BB50931E5A7}"/>
    <cellStyle name="40% - Accent3 3 2 2 4" xfId="9213" xr:uid="{283D40B1-2417-4DBE-B470-3D2DE46FB8E4}"/>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8606635A-41CD-4AC9-BD4B-E8B815C8D7D5}"/>
    <cellStyle name="40% - Accent3 3 2 3 2 3" xfId="11771" xr:uid="{703F29BF-DEF7-4EE5-86DA-772FBEA087C4}"/>
    <cellStyle name="40% - Accent3 3 2 3 3" xfId="5402" xr:uid="{00000000-0005-0000-0000-00005B050000}"/>
    <cellStyle name="40% - Accent3 3 2 3 3 2" xfId="13844" xr:uid="{E9B0E439-5956-42AB-B888-2D89291AD32D}"/>
    <cellStyle name="40% - Accent3 3 2 3 4" xfId="9626" xr:uid="{68DB7EE5-F18A-427C-9A5A-364B395781B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FA63754-CCA8-431B-97AC-F9F077B2BF10}"/>
    <cellStyle name="40% - Accent3 3 2 4 2 3" xfId="12184" xr:uid="{F615CB20-FDA7-4F7D-A08C-236567E80828}"/>
    <cellStyle name="40% - Accent3 3 2 4 3" xfId="5815" xr:uid="{00000000-0005-0000-0000-00005F050000}"/>
    <cellStyle name="40% - Accent3 3 2 4 3 2" xfId="14257" xr:uid="{09CE845F-B76D-44BB-B809-430A7D161DE5}"/>
    <cellStyle name="40% - Accent3 3 2 4 4" xfId="10039" xr:uid="{A5B0B15A-CB29-49F7-B565-59B672FA1BA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C912FE0E-977E-4547-B478-EF5266D5CA84}"/>
    <cellStyle name="40% - Accent3 3 2 5 2 3" xfId="12597" xr:uid="{A9666EBF-C832-4D73-AD1C-729BD0AFB72C}"/>
    <cellStyle name="40% - Accent3 3 2 5 3" xfId="6228" xr:uid="{00000000-0005-0000-0000-000063050000}"/>
    <cellStyle name="40% - Accent3 3 2 5 3 2" xfId="14670" xr:uid="{A958F6BE-7768-4ED7-8FCE-52C2D09AD99C}"/>
    <cellStyle name="40% - Accent3 3 2 5 4" xfId="10452" xr:uid="{FEC47966-33FB-41D4-8753-7DEEA404E984}"/>
    <cellStyle name="40% - Accent3 3 2 6" xfId="2334" xr:uid="{00000000-0005-0000-0000-000064050000}"/>
    <cellStyle name="40% - Accent3 3 2 6 2" xfId="6641" xr:uid="{00000000-0005-0000-0000-000065050000}"/>
    <cellStyle name="40% - Accent3 3 2 6 2 2" xfId="15083" xr:uid="{E2CAE35A-DEA0-4F80-B62A-B9CD72E3E077}"/>
    <cellStyle name="40% - Accent3 3 2 6 3" xfId="10865" xr:uid="{E19AFC27-460E-4FA9-A6BC-6A04ABAB40C9}"/>
    <cellStyle name="40% - Accent3 3 2 7" xfId="4575" xr:uid="{00000000-0005-0000-0000-000066050000}"/>
    <cellStyle name="40% - Accent3 3 2 7 2" xfId="13017" xr:uid="{2FECD6C1-535A-4A4B-9E1E-4F90F1B66D8E}"/>
    <cellStyle name="40% - Accent3 3 2 8" xfId="8799" xr:uid="{00859E31-9172-42E2-9624-019F10DAA3E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21284D4E-359A-450E-A905-CCC86FED615F}"/>
    <cellStyle name="40% - Accent3 3 3 2 3" xfId="11357" xr:uid="{88BB1E4D-ECFF-4975-9365-C45672E63728}"/>
    <cellStyle name="40% - Accent3 3 3 3" xfId="4988" xr:uid="{00000000-0005-0000-0000-00006A050000}"/>
    <cellStyle name="40% - Accent3 3 3 3 2" xfId="13430" xr:uid="{1D4EA430-5675-43DE-B0C3-B9F92DB45837}"/>
    <cellStyle name="40% - Accent3 3 3 4" xfId="9212" xr:uid="{8A194522-1D7C-448A-B9E7-8BAFECD42A47}"/>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A6FCC175-86BA-4CD1-9F4D-407BD87E88D3}"/>
    <cellStyle name="40% - Accent3 3 4 2 3" xfId="11770" xr:uid="{B2B16A69-0D57-401F-B038-73630C3CA2E9}"/>
    <cellStyle name="40% - Accent3 3 4 3" xfId="5401" xr:uid="{00000000-0005-0000-0000-00006E050000}"/>
    <cellStyle name="40% - Accent3 3 4 3 2" xfId="13843" xr:uid="{0545A6C5-9773-4A57-A94A-E993B9BB9274}"/>
    <cellStyle name="40% - Accent3 3 4 4" xfId="9625" xr:uid="{2BF48115-42CA-4E7E-839F-C19B871B1EF0}"/>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597D5507-6333-4567-8BE3-C539C15CF0F5}"/>
    <cellStyle name="40% - Accent3 3 5 2 3" xfId="12183" xr:uid="{6E45B061-03C4-4961-BAA2-ECACDDEB4117}"/>
    <cellStyle name="40% - Accent3 3 5 3" xfId="5814" xr:uid="{00000000-0005-0000-0000-000072050000}"/>
    <cellStyle name="40% - Accent3 3 5 3 2" xfId="14256" xr:uid="{95559906-7C8C-49BE-BD79-8C7503202327}"/>
    <cellStyle name="40% - Accent3 3 5 4" xfId="10038" xr:uid="{CB68594B-D168-4E78-962A-11D27FCFC87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EEEA2472-3AAA-4F68-9563-081F9A0A229F}"/>
    <cellStyle name="40% - Accent3 3 6 2 3" xfId="12596" xr:uid="{1C85BCC1-9C05-4AE3-9E2E-3759527A3781}"/>
    <cellStyle name="40% - Accent3 3 6 3" xfId="6227" xr:uid="{00000000-0005-0000-0000-000076050000}"/>
    <cellStyle name="40% - Accent3 3 6 3 2" xfId="14669" xr:uid="{714E52FF-DF65-4774-9E48-520B622D5381}"/>
    <cellStyle name="40% - Accent3 3 6 4" xfId="10451" xr:uid="{462E7A94-3FDA-46D3-9B4F-832C32471641}"/>
    <cellStyle name="40% - Accent3 3 7" xfId="2333" xr:uid="{00000000-0005-0000-0000-000077050000}"/>
    <cellStyle name="40% - Accent3 3 7 2" xfId="6640" xr:uid="{00000000-0005-0000-0000-000078050000}"/>
    <cellStyle name="40% - Accent3 3 7 2 2" xfId="15082" xr:uid="{3FE2B511-01AE-41EA-BD6E-6A7864DAA6E3}"/>
    <cellStyle name="40% - Accent3 3 7 3" xfId="10864" xr:uid="{2B39987D-359E-492A-999A-A53E03AACF47}"/>
    <cellStyle name="40% - Accent3 3 8" xfId="4574" xr:uid="{00000000-0005-0000-0000-000079050000}"/>
    <cellStyle name="40% - Accent3 3 8 2" xfId="13016" xr:uid="{1F514E08-388C-485D-9DA7-4FF73D40FEDD}"/>
    <cellStyle name="40% - Accent3 3 9" xfId="8798" xr:uid="{0E0585F6-EAB9-4E6B-AD6E-DAAB540CDF4A}"/>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1CF564A0-22A6-4E55-9450-F9ACCDF13320}"/>
    <cellStyle name="40% - Accent3 4 2 2 3" xfId="11359" xr:uid="{07D9A1F8-7EBB-4FA4-8F74-9D84D9CAC709}"/>
    <cellStyle name="40% - Accent3 4 2 3" xfId="4990" xr:uid="{00000000-0005-0000-0000-00007E050000}"/>
    <cellStyle name="40% - Accent3 4 2 3 2" xfId="13432" xr:uid="{295A03F1-E8BF-473A-A50A-32514D79339C}"/>
    <cellStyle name="40% - Accent3 4 2 4" xfId="9214" xr:uid="{A8F68087-8046-4417-A315-54FDE11C0F8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8BF1AC38-8983-4469-9BA1-3C2568B5D74B}"/>
    <cellStyle name="40% - Accent3 4 3 2 3" xfId="11772" xr:uid="{235CBA23-9D63-46DF-A33B-12EDEAF06DA0}"/>
    <cellStyle name="40% - Accent3 4 3 3" xfId="5403" xr:uid="{00000000-0005-0000-0000-000082050000}"/>
    <cellStyle name="40% - Accent3 4 3 3 2" xfId="13845" xr:uid="{A5CE2546-60E6-460C-8E5D-E4F14138F53B}"/>
    <cellStyle name="40% - Accent3 4 3 4" xfId="9627" xr:uid="{91DC0E24-CB48-446E-9DEE-871D7F85C460}"/>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433E16F7-22C3-457F-97F9-4A7C18AEAF89}"/>
    <cellStyle name="40% - Accent3 4 4 2 3" xfId="12185" xr:uid="{C86CFB15-F247-4987-8216-33167DFE6077}"/>
    <cellStyle name="40% - Accent3 4 4 3" xfId="5816" xr:uid="{00000000-0005-0000-0000-000086050000}"/>
    <cellStyle name="40% - Accent3 4 4 3 2" xfId="14258" xr:uid="{F21755C8-2917-431F-B2F0-2DB48B5254E2}"/>
    <cellStyle name="40% - Accent3 4 4 4" xfId="10040" xr:uid="{C0E42678-443D-4C63-BD6A-2AA541F7172D}"/>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B114A58D-4C92-49D3-B5B6-4D85721094C3}"/>
    <cellStyle name="40% - Accent3 4 5 2 3" xfId="12598" xr:uid="{01E84668-D1AE-452D-BDA1-A501711EC605}"/>
    <cellStyle name="40% - Accent3 4 5 3" xfId="6229" xr:uid="{00000000-0005-0000-0000-00008A050000}"/>
    <cellStyle name="40% - Accent3 4 5 3 2" xfId="14671" xr:uid="{0F07ABA7-45B7-4634-956E-75DB84B516E7}"/>
    <cellStyle name="40% - Accent3 4 5 4" xfId="10453" xr:uid="{FDA3F47D-B77A-46A6-8D9A-F814582F4417}"/>
    <cellStyle name="40% - Accent3 4 6" xfId="2335" xr:uid="{00000000-0005-0000-0000-00008B050000}"/>
    <cellStyle name="40% - Accent3 4 6 2" xfId="6642" xr:uid="{00000000-0005-0000-0000-00008C050000}"/>
    <cellStyle name="40% - Accent3 4 6 2 2" xfId="15084" xr:uid="{7C54BF5D-C273-40D3-9033-A26E397444CD}"/>
    <cellStyle name="40% - Accent3 4 6 3" xfId="10866" xr:uid="{E96552DF-CFD1-4962-BAC1-A71912BE0781}"/>
    <cellStyle name="40% - Accent3 4 7" xfId="4576" xr:uid="{00000000-0005-0000-0000-00008D050000}"/>
    <cellStyle name="40% - Accent3 4 7 2" xfId="13018" xr:uid="{4D518C21-5242-432E-BBA7-2ACB1DA96C92}"/>
    <cellStyle name="40% - Accent3 4 8" xfId="8800" xr:uid="{02CBC206-03E3-456C-9E5B-C93E9528CF5A}"/>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E3006ACB-CE77-4D5D-9E8B-DC3E9AFBAAB8}"/>
    <cellStyle name="40% - Accent3 5 2 3" xfId="11352" xr:uid="{7689AA16-6D51-4308-8297-31FD117BDC9F}"/>
    <cellStyle name="40% - Accent3 5 3" xfId="4983" xr:uid="{00000000-0005-0000-0000-000091050000}"/>
    <cellStyle name="40% - Accent3 5 3 2" xfId="13425" xr:uid="{18D19A65-2C33-4EE2-B8A6-CF7E0918E20C}"/>
    <cellStyle name="40% - Accent3 5 4" xfId="9207" xr:uid="{E5D97819-79E8-43D2-BEED-9DD2E49A1C65}"/>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0127EB41-F57F-4CFE-8A2E-AEB329DC61DC}"/>
    <cellStyle name="40% - Accent3 6 2 3" xfId="11765" xr:uid="{386A0766-7E21-4699-BB39-97B13F9A1FFA}"/>
    <cellStyle name="40% - Accent3 6 3" xfId="5396" xr:uid="{00000000-0005-0000-0000-000095050000}"/>
    <cellStyle name="40% - Accent3 6 3 2" xfId="13838" xr:uid="{679D633A-517C-40FA-A0F5-6840837863D9}"/>
    <cellStyle name="40% - Accent3 6 4" xfId="9620" xr:uid="{7CC122E6-7CEB-4ACA-8042-5259DE4B5D5C}"/>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E93C1F86-23BD-4C95-951F-603CBB7FD486}"/>
    <cellStyle name="40% - Accent3 7 2 3" xfId="12178" xr:uid="{F57B3CA2-294A-43F6-BB24-88D07779DD10}"/>
    <cellStyle name="40% - Accent3 7 3" xfId="5809" xr:uid="{00000000-0005-0000-0000-000099050000}"/>
    <cellStyle name="40% - Accent3 7 3 2" xfId="14251" xr:uid="{082B66AE-883F-4361-98C7-ECB272EC9B98}"/>
    <cellStyle name="40% - Accent3 7 4" xfId="10033" xr:uid="{85F8F5BE-6B33-4701-8F8A-5AFF15F76B36}"/>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25B05183-868E-4F44-B354-A72F3F9A5589}"/>
    <cellStyle name="40% - Accent3 8 2 3" xfId="12591" xr:uid="{44270A89-1B5A-4B61-82A8-401A9E9F4778}"/>
    <cellStyle name="40% - Accent3 8 3" xfId="6222" xr:uid="{00000000-0005-0000-0000-00009D050000}"/>
    <cellStyle name="40% - Accent3 8 3 2" xfId="14664" xr:uid="{37EB8125-5882-440B-9575-23BFB3CE3611}"/>
    <cellStyle name="40% - Accent3 8 4" xfId="10446" xr:uid="{5DC60AAB-262F-4108-BAAC-A336422A70C2}"/>
    <cellStyle name="40% - Accent3 9" xfId="2328" xr:uid="{00000000-0005-0000-0000-00009E050000}"/>
    <cellStyle name="40% - Accent3 9 2" xfId="6635" xr:uid="{00000000-0005-0000-0000-00009F050000}"/>
    <cellStyle name="40% - Accent3 9 2 2" xfId="15077" xr:uid="{0749EC8E-E0A4-403E-928C-BE011807B05E}"/>
    <cellStyle name="40% - Accent3 9 3" xfId="10859" xr:uid="{E39AC1BE-400B-4452-8D89-A793DB144B7C}"/>
    <cellStyle name="40% - Accent4" xfId="73" builtinId="43" customBuiltin="1"/>
    <cellStyle name="40% - Accent4 10" xfId="4577" xr:uid="{00000000-0005-0000-0000-0000A1050000}"/>
    <cellStyle name="40% - Accent4 10 2" xfId="13019" xr:uid="{32EF9C99-A440-4B7B-8C5F-F56654430D6E}"/>
    <cellStyle name="40% - Accent4 11" xfId="8801" xr:uid="{A1EBA0A1-6373-439F-A521-BC0CDC33C151}"/>
    <cellStyle name="40% - Accent4 2" xfId="74" xr:uid="{00000000-0005-0000-0000-0000A2050000}"/>
    <cellStyle name="40% - Accent4 2 10" xfId="8802" xr:uid="{D5D56572-30E9-4994-BDEE-C26AE0D9419E}"/>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44A457F6-A31E-40ED-9613-1621858B0057}"/>
    <cellStyle name="40% - Accent4 2 2 2 2 2 3" xfId="11363" xr:uid="{06D5B402-9065-4851-91F7-71D6D153FB6E}"/>
    <cellStyle name="40% - Accent4 2 2 2 2 3" xfId="4994" xr:uid="{00000000-0005-0000-0000-0000A8050000}"/>
    <cellStyle name="40% - Accent4 2 2 2 2 3 2" xfId="13436" xr:uid="{21E34052-AE1A-4765-BFA7-4BE41B27B7E6}"/>
    <cellStyle name="40% - Accent4 2 2 2 2 4" xfId="9218" xr:uid="{ACE2E63A-752C-4F50-B611-6D21FBDD940A}"/>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90C1CD2-9ECA-44F0-B811-6F7781B792B2}"/>
    <cellStyle name="40% - Accent4 2 2 2 3 2 3" xfId="11776" xr:uid="{2B7C1FE7-01BB-4909-8588-673B25D40F5B}"/>
    <cellStyle name="40% - Accent4 2 2 2 3 3" xfId="5407" xr:uid="{00000000-0005-0000-0000-0000AC050000}"/>
    <cellStyle name="40% - Accent4 2 2 2 3 3 2" xfId="13849" xr:uid="{3359FDA8-899D-4ECB-AA8C-359B51B50775}"/>
    <cellStyle name="40% - Accent4 2 2 2 3 4" xfId="9631" xr:uid="{81D999AE-CAF7-44D9-9761-95D4A58D9CFC}"/>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3756B33B-BE7F-4052-BE51-E4BBB62AD7C0}"/>
    <cellStyle name="40% - Accent4 2 2 2 4 2 3" xfId="12189" xr:uid="{DA8CACAF-7C24-4BAD-B29E-C0674D5DB11C}"/>
    <cellStyle name="40% - Accent4 2 2 2 4 3" xfId="5820" xr:uid="{00000000-0005-0000-0000-0000B0050000}"/>
    <cellStyle name="40% - Accent4 2 2 2 4 3 2" xfId="14262" xr:uid="{D2F4F804-B9D8-43D8-906E-9AE40759C140}"/>
    <cellStyle name="40% - Accent4 2 2 2 4 4" xfId="10044" xr:uid="{8DE5ABBB-DD80-4AAA-B1F2-F31C52BBBBFC}"/>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441BD639-0CA3-4579-8F80-A77EE06A2EFE}"/>
    <cellStyle name="40% - Accent4 2 2 2 5 2 3" xfId="12602" xr:uid="{2D212E5B-64F0-4EB1-96BB-D4223C108B9A}"/>
    <cellStyle name="40% - Accent4 2 2 2 5 3" xfId="6233" xr:uid="{00000000-0005-0000-0000-0000B4050000}"/>
    <cellStyle name="40% - Accent4 2 2 2 5 3 2" xfId="14675" xr:uid="{0CFC11B3-7932-41B9-B43B-BC3590B99C16}"/>
    <cellStyle name="40% - Accent4 2 2 2 5 4" xfId="10457" xr:uid="{075C0993-3384-4467-AF66-E27254592629}"/>
    <cellStyle name="40% - Accent4 2 2 2 6" xfId="2339" xr:uid="{00000000-0005-0000-0000-0000B5050000}"/>
    <cellStyle name="40% - Accent4 2 2 2 6 2" xfId="6646" xr:uid="{00000000-0005-0000-0000-0000B6050000}"/>
    <cellStyle name="40% - Accent4 2 2 2 6 2 2" xfId="15088" xr:uid="{B9C75CF2-60EF-4B82-9475-D3BDB5B13FE6}"/>
    <cellStyle name="40% - Accent4 2 2 2 6 3" xfId="10870" xr:uid="{7ED08F1A-7D80-4E2A-9F26-B4E37879A755}"/>
    <cellStyle name="40% - Accent4 2 2 2 7" xfId="4580" xr:uid="{00000000-0005-0000-0000-0000B7050000}"/>
    <cellStyle name="40% - Accent4 2 2 2 7 2" xfId="13022" xr:uid="{2FEB84BC-A952-422C-A2C0-E84CA540E758}"/>
    <cellStyle name="40% - Accent4 2 2 2 8" xfId="8804" xr:uid="{011CA145-B35E-4001-BD2B-74E016D3C483}"/>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05930DE1-9F72-4483-9FFF-5B7113AD4D90}"/>
    <cellStyle name="40% - Accent4 2 2 3 2 3" xfId="11362" xr:uid="{E12B2E9D-06C6-4616-9AB5-1C3A89B5EFF8}"/>
    <cellStyle name="40% - Accent4 2 2 3 3" xfId="4993" xr:uid="{00000000-0005-0000-0000-0000BB050000}"/>
    <cellStyle name="40% - Accent4 2 2 3 3 2" xfId="13435" xr:uid="{EFB7949D-76F5-478C-87E1-87FC09D0B353}"/>
    <cellStyle name="40% - Accent4 2 2 3 4" xfId="9217" xr:uid="{08C2886A-B0C6-4E71-ADEA-40F0474F7307}"/>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763A6572-9EE1-48CC-9811-5071F9DFB8C5}"/>
    <cellStyle name="40% - Accent4 2 2 4 2 3" xfId="11775" xr:uid="{9F63F57F-9CA1-4429-8AB2-81584464596B}"/>
    <cellStyle name="40% - Accent4 2 2 4 3" xfId="5406" xr:uid="{00000000-0005-0000-0000-0000BF050000}"/>
    <cellStyle name="40% - Accent4 2 2 4 3 2" xfId="13848" xr:uid="{B220AD4B-E6B3-454C-8738-7438C9FDA215}"/>
    <cellStyle name="40% - Accent4 2 2 4 4" xfId="9630" xr:uid="{6210317E-7910-4E7E-BFAD-D29616C693A4}"/>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A4C6D44E-41D6-4424-A4CB-D60F89831A83}"/>
    <cellStyle name="40% - Accent4 2 2 5 2 3" xfId="12188" xr:uid="{FA25E905-FE5A-4369-B269-898BCA43C1E2}"/>
    <cellStyle name="40% - Accent4 2 2 5 3" xfId="5819" xr:uid="{00000000-0005-0000-0000-0000C3050000}"/>
    <cellStyle name="40% - Accent4 2 2 5 3 2" xfId="14261" xr:uid="{5862D2DE-A1AD-48EC-AE3F-997EB8BC8701}"/>
    <cellStyle name="40% - Accent4 2 2 5 4" xfId="10043" xr:uid="{C6E5FD11-974D-44E4-ABF8-3567596F7F75}"/>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545F8798-03B1-4370-A873-14FB754E12D5}"/>
    <cellStyle name="40% - Accent4 2 2 6 2 3" xfId="12601" xr:uid="{2EB21A2F-6497-4FA8-809E-03D81E06C2DB}"/>
    <cellStyle name="40% - Accent4 2 2 6 3" xfId="6232" xr:uid="{00000000-0005-0000-0000-0000C7050000}"/>
    <cellStyle name="40% - Accent4 2 2 6 3 2" xfId="14674" xr:uid="{E9E584D5-019D-4524-8EE1-BDF75FC5CE24}"/>
    <cellStyle name="40% - Accent4 2 2 6 4" xfId="10456" xr:uid="{7C33B96A-33FD-4803-8647-1B2C1743E9EC}"/>
    <cellStyle name="40% - Accent4 2 2 7" xfId="2338" xr:uid="{00000000-0005-0000-0000-0000C8050000}"/>
    <cellStyle name="40% - Accent4 2 2 7 2" xfId="6645" xr:uid="{00000000-0005-0000-0000-0000C9050000}"/>
    <cellStyle name="40% - Accent4 2 2 7 2 2" xfId="15087" xr:uid="{FC36B854-303D-40C9-9E4B-C1CA91754E4D}"/>
    <cellStyle name="40% - Accent4 2 2 7 3" xfId="10869" xr:uid="{690B86D1-7417-490C-B3FB-3F47EC19DE52}"/>
    <cellStyle name="40% - Accent4 2 2 8" xfId="4579" xr:uid="{00000000-0005-0000-0000-0000CA050000}"/>
    <cellStyle name="40% - Accent4 2 2 8 2" xfId="13021" xr:uid="{5B951002-77FA-4253-911A-A4A018984F1F}"/>
    <cellStyle name="40% - Accent4 2 2 9" xfId="8803" xr:uid="{F5C4E43A-A91D-4C38-A6DA-BEF967AECC39}"/>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0D91AFB8-F542-4F91-BF49-7EA5EDE8BBD6}"/>
    <cellStyle name="40% - Accent4 2 3 2 2 3" xfId="11364" xr:uid="{10A54123-F94B-45BB-9961-F24C08508C51}"/>
    <cellStyle name="40% - Accent4 2 3 2 3" xfId="4995" xr:uid="{00000000-0005-0000-0000-0000CF050000}"/>
    <cellStyle name="40% - Accent4 2 3 2 3 2" xfId="13437" xr:uid="{43235D54-4FFD-49A4-8B92-B31920218950}"/>
    <cellStyle name="40% - Accent4 2 3 2 4" xfId="9219" xr:uid="{ADAFBCFE-6A7F-4567-886A-9CA2F1220DEC}"/>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60980D03-BFA7-4EF8-8F0A-6FA44F84EEBB}"/>
    <cellStyle name="40% - Accent4 2 3 3 2 3" xfId="11777" xr:uid="{14981AA8-9FA1-4620-BE16-F47E2AC43100}"/>
    <cellStyle name="40% - Accent4 2 3 3 3" xfId="5408" xr:uid="{00000000-0005-0000-0000-0000D3050000}"/>
    <cellStyle name="40% - Accent4 2 3 3 3 2" xfId="13850" xr:uid="{01F5EF7C-94CA-4516-914B-4E56AAC5242E}"/>
    <cellStyle name="40% - Accent4 2 3 3 4" xfId="9632" xr:uid="{2810623A-2C8D-4729-A43A-55871BEA7681}"/>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90257021-21BB-496D-BC4D-02F6023D8A36}"/>
    <cellStyle name="40% - Accent4 2 3 4 2 3" xfId="12190" xr:uid="{39C827AA-877C-45F6-B6AD-359F96706348}"/>
    <cellStyle name="40% - Accent4 2 3 4 3" xfId="5821" xr:uid="{00000000-0005-0000-0000-0000D7050000}"/>
    <cellStyle name="40% - Accent4 2 3 4 3 2" xfId="14263" xr:uid="{FCDADA99-98D4-48BE-A4F1-B3E625EC8D03}"/>
    <cellStyle name="40% - Accent4 2 3 4 4" xfId="10045" xr:uid="{62D6385F-8062-4C6F-BEEF-B5016ECB8FB4}"/>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25F9606B-1743-4EEE-9A10-FE530D3EB755}"/>
    <cellStyle name="40% - Accent4 2 3 5 2 3" xfId="12603" xr:uid="{6ADFEACE-1B26-4D8C-BAC4-AE40DE875740}"/>
    <cellStyle name="40% - Accent4 2 3 5 3" xfId="6234" xr:uid="{00000000-0005-0000-0000-0000DB050000}"/>
    <cellStyle name="40% - Accent4 2 3 5 3 2" xfId="14676" xr:uid="{DDF333E1-AD42-414D-ADE9-14D5CB1A4FFF}"/>
    <cellStyle name="40% - Accent4 2 3 5 4" xfId="10458" xr:uid="{84781D06-90FD-42B1-BB39-E7D5A2CB4B74}"/>
    <cellStyle name="40% - Accent4 2 3 6" xfId="2340" xr:uid="{00000000-0005-0000-0000-0000DC050000}"/>
    <cellStyle name="40% - Accent4 2 3 6 2" xfId="6647" xr:uid="{00000000-0005-0000-0000-0000DD050000}"/>
    <cellStyle name="40% - Accent4 2 3 6 2 2" xfId="15089" xr:uid="{9E38C90E-0654-45FD-AC2E-47ACC07E7AE3}"/>
    <cellStyle name="40% - Accent4 2 3 6 3" xfId="10871" xr:uid="{019CB48F-BED5-4610-9913-2BBA0B4B15C9}"/>
    <cellStyle name="40% - Accent4 2 3 7" xfId="4581" xr:uid="{00000000-0005-0000-0000-0000DE050000}"/>
    <cellStyle name="40% - Accent4 2 3 7 2" xfId="13023" xr:uid="{D2BC0EB7-3888-423E-8AA2-C187005370BC}"/>
    <cellStyle name="40% - Accent4 2 3 8" xfId="8805" xr:uid="{1114EBBF-022D-4708-A2C8-803E91EBC92E}"/>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A9C70ECC-7E43-4396-B9E2-725C807C54DC}"/>
    <cellStyle name="40% - Accent4 2 4 2 3" xfId="11361" xr:uid="{D85FCDD7-3873-4318-9324-8F004BC41C12}"/>
    <cellStyle name="40% - Accent4 2 4 3" xfId="4992" xr:uid="{00000000-0005-0000-0000-0000E2050000}"/>
    <cellStyle name="40% - Accent4 2 4 3 2" xfId="13434" xr:uid="{0E130684-2855-41E4-B787-D98513B74324}"/>
    <cellStyle name="40% - Accent4 2 4 4" xfId="9216" xr:uid="{AD7413D7-9382-42A7-94E0-21BBB9E58DD9}"/>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B25E6565-633C-4C67-B181-FC79CC1DD9CB}"/>
    <cellStyle name="40% - Accent4 2 5 2 3" xfId="11774" xr:uid="{903019DC-B534-4E23-9907-331C39B19A8D}"/>
    <cellStyle name="40% - Accent4 2 5 3" xfId="5405" xr:uid="{00000000-0005-0000-0000-0000E6050000}"/>
    <cellStyle name="40% - Accent4 2 5 3 2" xfId="13847" xr:uid="{81D328CA-281E-4ABB-95D3-E44BE6ADBB6D}"/>
    <cellStyle name="40% - Accent4 2 5 4" xfId="9629" xr:uid="{7F41ACA7-2971-4946-9122-95E2BD55B2D8}"/>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7E527CA2-002E-4C7A-AB0C-C662688BE1CD}"/>
    <cellStyle name="40% - Accent4 2 6 2 3" xfId="12187" xr:uid="{5D4B3388-E0E7-4AFE-9270-53B33A6686A1}"/>
    <cellStyle name="40% - Accent4 2 6 3" xfId="5818" xr:uid="{00000000-0005-0000-0000-0000EA050000}"/>
    <cellStyle name="40% - Accent4 2 6 3 2" xfId="14260" xr:uid="{B97F07E1-ADE2-4AB8-8565-1C651AAB7D7B}"/>
    <cellStyle name="40% - Accent4 2 6 4" xfId="10042" xr:uid="{AED76BB6-2558-4E82-A17B-CAAB8CD58EAD}"/>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D2AAB482-5C88-4BEC-8528-E24D18E47168}"/>
    <cellStyle name="40% - Accent4 2 7 2 3" xfId="12600" xr:uid="{8071C9D8-79BB-4088-ABED-2AB5EF372158}"/>
    <cellStyle name="40% - Accent4 2 7 3" xfId="6231" xr:uid="{00000000-0005-0000-0000-0000EE050000}"/>
    <cellStyle name="40% - Accent4 2 7 3 2" xfId="14673" xr:uid="{D91B3255-2BB3-41F1-B73D-17409A18EA5E}"/>
    <cellStyle name="40% - Accent4 2 7 4" xfId="10455" xr:uid="{CDF163EB-9254-44EC-B13B-922EB733A9E3}"/>
    <cellStyle name="40% - Accent4 2 8" xfId="2337" xr:uid="{00000000-0005-0000-0000-0000EF050000}"/>
    <cellStyle name="40% - Accent4 2 8 2" xfId="6644" xr:uid="{00000000-0005-0000-0000-0000F0050000}"/>
    <cellStyle name="40% - Accent4 2 8 2 2" xfId="15086" xr:uid="{C8606A00-48E0-49D1-8E38-9F47756771E6}"/>
    <cellStyle name="40% - Accent4 2 8 3" xfId="10868" xr:uid="{6C68F273-B34A-4620-BC75-C46070A04FE6}"/>
    <cellStyle name="40% - Accent4 2 9" xfId="4578" xr:uid="{00000000-0005-0000-0000-0000F1050000}"/>
    <cellStyle name="40% - Accent4 2 9 2" xfId="13020" xr:uid="{FFE4D8EE-78C9-44A5-8B66-86F492B0C09D}"/>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43A40F59-0106-4FE1-A0C7-93BF230AC69A}"/>
    <cellStyle name="40% - Accent4 3 2 2 2 3" xfId="11366" xr:uid="{567D75D8-5CC3-43C8-B3D6-833C92C7E44F}"/>
    <cellStyle name="40% - Accent4 3 2 2 3" xfId="4997" xr:uid="{00000000-0005-0000-0000-0000F7050000}"/>
    <cellStyle name="40% - Accent4 3 2 2 3 2" xfId="13439" xr:uid="{F056E71D-D578-48C7-8E4B-B35E014805FD}"/>
    <cellStyle name="40% - Accent4 3 2 2 4" xfId="9221" xr:uid="{D20419F4-69E8-4193-99B0-CFE895D11DD4}"/>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3537CF37-1127-462C-A941-EAEB9DF6E2C3}"/>
    <cellStyle name="40% - Accent4 3 2 3 2 3" xfId="11779" xr:uid="{566FA309-B030-4A1C-96DC-0DAA459E8325}"/>
    <cellStyle name="40% - Accent4 3 2 3 3" xfId="5410" xr:uid="{00000000-0005-0000-0000-0000FB050000}"/>
    <cellStyle name="40% - Accent4 3 2 3 3 2" xfId="13852" xr:uid="{A684A946-C7B3-47DB-ADE1-CC62B7E07DB5}"/>
    <cellStyle name="40% - Accent4 3 2 3 4" xfId="9634" xr:uid="{DF8F87F8-890B-45E0-AD6A-919F9917A6DA}"/>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D6FA3B83-43D7-4CB1-93FA-92CB2B05E6C5}"/>
    <cellStyle name="40% - Accent4 3 2 4 2 3" xfId="12192" xr:uid="{1F00451B-DF6A-4C5B-A868-D2BE4278020E}"/>
    <cellStyle name="40% - Accent4 3 2 4 3" xfId="5823" xr:uid="{00000000-0005-0000-0000-0000FF050000}"/>
    <cellStyle name="40% - Accent4 3 2 4 3 2" xfId="14265" xr:uid="{21152A20-65DD-4EDF-A35F-B7CDCA1DCF43}"/>
    <cellStyle name="40% - Accent4 3 2 4 4" xfId="10047" xr:uid="{C8411341-454E-458B-AA9A-577E2C9AC278}"/>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84B738A8-8818-482D-BDAA-6ACFAB8AA027}"/>
    <cellStyle name="40% - Accent4 3 2 5 2 3" xfId="12605" xr:uid="{ADEA695F-1AA6-4C2A-96C9-27F03532016B}"/>
    <cellStyle name="40% - Accent4 3 2 5 3" xfId="6236" xr:uid="{00000000-0005-0000-0000-000003060000}"/>
    <cellStyle name="40% - Accent4 3 2 5 3 2" xfId="14678" xr:uid="{EF291100-477A-4F96-AF71-2691D9D69C6F}"/>
    <cellStyle name="40% - Accent4 3 2 5 4" xfId="10460" xr:uid="{96BD66E2-6656-4CCE-B344-257FBD9C4C13}"/>
    <cellStyle name="40% - Accent4 3 2 6" xfId="2342" xr:uid="{00000000-0005-0000-0000-000004060000}"/>
    <cellStyle name="40% - Accent4 3 2 6 2" xfId="6649" xr:uid="{00000000-0005-0000-0000-000005060000}"/>
    <cellStyle name="40% - Accent4 3 2 6 2 2" xfId="15091" xr:uid="{C8834075-1691-437D-8085-D78D91E5E72E}"/>
    <cellStyle name="40% - Accent4 3 2 6 3" xfId="10873" xr:uid="{F636C003-AE53-483A-856D-28D7B3CF6BEF}"/>
    <cellStyle name="40% - Accent4 3 2 7" xfId="4583" xr:uid="{00000000-0005-0000-0000-000006060000}"/>
    <cellStyle name="40% - Accent4 3 2 7 2" xfId="13025" xr:uid="{D54FFA57-CBD8-4170-81DD-DE5D0ED3D99A}"/>
    <cellStyle name="40% - Accent4 3 2 8" xfId="8807" xr:uid="{E22ED24C-D295-4840-B293-4D904AD22275}"/>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9580D975-01DE-4E97-9737-32BF205D1B46}"/>
    <cellStyle name="40% - Accent4 3 3 2 3" xfId="11365" xr:uid="{35EFE7D8-BE33-4E1D-957D-78E5112521AE}"/>
    <cellStyle name="40% - Accent4 3 3 3" xfId="4996" xr:uid="{00000000-0005-0000-0000-00000A060000}"/>
    <cellStyle name="40% - Accent4 3 3 3 2" xfId="13438" xr:uid="{635F6683-8EB4-4F53-A8F4-0716AFA89323}"/>
    <cellStyle name="40% - Accent4 3 3 4" xfId="9220" xr:uid="{599F5672-523C-4860-918A-6B82D45FDCD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B5900ABF-1124-46E4-8E86-617539C8651E}"/>
    <cellStyle name="40% - Accent4 3 4 2 3" xfId="11778" xr:uid="{48D0DD77-D2B3-4343-A7C4-47182DB931CC}"/>
    <cellStyle name="40% - Accent4 3 4 3" xfId="5409" xr:uid="{00000000-0005-0000-0000-00000E060000}"/>
    <cellStyle name="40% - Accent4 3 4 3 2" xfId="13851" xr:uid="{438DEA8D-1CB0-4A7C-88D1-8E876D7CEE50}"/>
    <cellStyle name="40% - Accent4 3 4 4" xfId="9633" xr:uid="{1DBEDDB5-5464-4B62-8ED8-BA351FBA1365}"/>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8372001D-DFC1-4330-B448-2CDBDCF923D3}"/>
    <cellStyle name="40% - Accent4 3 5 2 3" xfId="12191" xr:uid="{8EB02F3E-174D-4B38-BAE5-318CE82A97CB}"/>
    <cellStyle name="40% - Accent4 3 5 3" xfId="5822" xr:uid="{00000000-0005-0000-0000-000012060000}"/>
    <cellStyle name="40% - Accent4 3 5 3 2" xfId="14264" xr:uid="{0A682338-6DBE-4719-B3F0-CC0102D9FCE7}"/>
    <cellStyle name="40% - Accent4 3 5 4" xfId="10046" xr:uid="{94C39B11-0782-4375-A159-AB5D43B3B806}"/>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1E2989C7-5E91-4E0A-B591-1B91A5F32724}"/>
    <cellStyle name="40% - Accent4 3 6 2 3" xfId="12604" xr:uid="{81F63E65-B16B-4288-B186-21AE8F0DEE61}"/>
    <cellStyle name="40% - Accent4 3 6 3" xfId="6235" xr:uid="{00000000-0005-0000-0000-000016060000}"/>
    <cellStyle name="40% - Accent4 3 6 3 2" xfId="14677" xr:uid="{88D6F105-322F-480A-9D1B-75AFD4C1D7B2}"/>
    <cellStyle name="40% - Accent4 3 6 4" xfId="10459" xr:uid="{B7B15407-F976-4BB4-A30B-A661CB107B98}"/>
    <cellStyle name="40% - Accent4 3 7" xfId="2341" xr:uid="{00000000-0005-0000-0000-000017060000}"/>
    <cellStyle name="40% - Accent4 3 7 2" xfId="6648" xr:uid="{00000000-0005-0000-0000-000018060000}"/>
    <cellStyle name="40% - Accent4 3 7 2 2" xfId="15090" xr:uid="{04FDEB0D-122C-410E-AE57-2F6B5FD5E26C}"/>
    <cellStyle name="40% - Accent4 3 7 3" xfId="10872" xr:uid="{5C93FF80-CB39-4740-905C-962BB09C7260}"/>
    <cellStyle name="40% - Accent4 3 8" xfId="4582" xr:uid="{00000000-0005-0000-0000-000019060000}"/>
    <cellStyle name="40% - Accent4 3 8 2" xfId="13024" xr:uid="{A9F99C4A-E5B0-4F44-8039-784D5D8F548C}"/>
    <cellStyle name="40% - Accent4 3 9" xfId="8806" xr:uid="{C69A28B9-5C66-4414-BAA8-1C2A49F050C4}"/>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92B5B5CB-BE80-4E22-A3EC-E2C8CF2B8ADB}"/>
    <cellStyle name="40% - Accent4 4 2 2 3" xfId="11367" xr:uid="{20C3F6B9-0078-4C81-883A-4ABFFF510D5D}"/>
    <cellStyle name="40% - Accent4 4 2 3" xfId="4998" xr:uid="{00000000-0005-0000-0000-00001E060000}"/>
    <cellStyle name="40% - Accent4 4 2 3 2" xfId="13440" xr:uid="{CD50EB8B-7CBC-4735-8AD2-63DC46E11418}"/>
    <cellStyle name="40% - Accent4 4 2 4" xfId="9222" xr:uid="{087D2FAC-43D0-496E-BBD5-EE7CC0211658}"/>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71C19152-576B-4DC5-AA4A-00DAFC04C9EE}"/>
    <cellStyle name="40% - Accent4 4 3 2 3" xfId="11780" xr:uid="{59ADF386-4889-45A1-B0DB-D20C6ECBC7AD}"/>
    <cellStyle name="40% - Accent4 4 3 3" xfId="5411" xr:uid="{00000000-0005-0000-0000-000022060000}"/>
    <cellStyle name="40% - Accent4 4 3 3 2" xfId="13853" xr:uid="{112C8F71-5564-4CD0-89CC-0F4E9FFDC6F8}"/>
    <cellStyle name="40% - Accent4 4 3 4" xfId="9635" xr:uid="{6451EC5B-A94F-4903-8FBD-7503BE7C7167}"/>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FD9419C8-7AC1-4C4B-9BAB-5413C07C0AC0}"/>
    <cellStyle name="40% - Accent4 4 4 2 3" xfId="12193" xr:uid="{4993E63A-E7A8-47F3-8B72-41E07789281C}"/>
    <cellStyle name="40% - Accent4 4 4 3" xfId="5824" xr:uid="{00000000-0005-0000-0000-000026060000}"/>
    <cellStyle name="40% - Accent4 4 4 3 2" xfId="14266" xr:uid="{2B15D95D-044A-42C0-BBD6-AD4385117167}"/>
    <cellStyle name="40% - Accent4 4 4 4" xfId="10048" xr:uid="{0928694C-0116-4CE0-8A65-F163FF802249}"/>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9D3E041B-18E5-44A0-91B9-E2AAB5B54121}"/>
    <cellStyle name="40% - Accent4 4 5 2 3" xfId="12606" xr:uid="{9B23C8E8-086A-403F-9B1D-FD6C6A7934C5}"/>
    <cellStyle name="40% - Accent4 4 5 3" xfId="6237" xr:uid="{00000000-0005-0000-0000-00002A060000}"/>
    <cellStyle name="40% - Accent4 4 5 3 2" xfId="14679" xr:uid="{82B4209E-6B1D-4D66-AFE6-4FC11298A775}"/>
    <cellStyle name="40% - Accent4 4 5 4" xfId="10461" xr:uid="{A9715561-DDFB-4784-AB9F-441116C89437}"/>
    <cellStyle name="40% - Accent4 4 6" xfId="2343" xr:uid="{00000000-0005-0000-0000-00002B060000}"/>
    <cellStyle name="40% - Accent4 4 6 2" xfId="6650" xr:uid="{00000000-0005-0000-0000-00002C060000}"/>
    <cellStyle name="40% - Accent4 4 6 2 2" xfId="15092" xr:uid="{8761FA07-F709-431E-ABCC-C5F829314EDB}"/>
    <cellStyle name="40% - Accent4 4 6 3" xfId="10874" xr:uid="{A6529BC9-6A7D-4C95-B20D-69F237E642F9}"/>
    <cellStyle name="40% - Accent4 4 7" xfId="4584" xr:uid="{00000000-0005-0000-0000-00002D060000}"/>
    <cellStyle name="40% - Accent4 4 7 2" xfId="13026" xr:uid="{3965787D-4F31-4DCD-AED6-56554BBA6AA3}"/>
    <cellStyle name="40% - Accent4 4 8" xfId="8808" xr:uid="{7169F80A-4439-4876-9A11-DE99BD3E5D54}"/>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718EC9E0-B0FF-4974-9E41-1EDDBE2CEEC7}"/>
    <cellStyle name="40% - Accent4 5 2 3" xfId="11360" xr:uid="{B9D03343-F227-4EE6-BE10-D0574D752E14}"/>
    <cellStyle name="40% - Accent4 5 3" xfId="4991" xr:uid="{00000000-0005-0000-0000-000031060000}"/>
    <cellStyle name="40% - Accent4 5 3 2" xfId="13433" xr:uid="{AFDA114E-F3C4-4B5B-A6D7-0A6A7E90B6FC}"/>
    <cellStyle name="40% - Accent4 5 4" xfId="9215" xr:uid="{70E85DC6-4558-4D68-8B8E-A74D3492E833}"/>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DED6811E-B72D-4B17-9CA5-D1B52E10B85A}"/>
    <cellStyle name="40% - Accent4 6 2 3" xfId="11773" xr:uid="{96B72C29-49A7-425E-ADD1-C909D73F67E0}"/>
    <cellStyle name="40% - Accent4 6 3" xfId="5404" xr:uid="{00000000-0005-0000-0000-000035060000}"/>
    <cellStyle name="40% - Accent4 6 3 2" xfId="13846" xr:uid="{6E8392BA-244C-4138-9049-434EF0022100}"/>
    <cellStyle name="40% - Accent4 6 4" xfId="9628" xr:uid="{EDE4BF67-72DF-454B-BF0E-2DF67600CF0E}"/>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71460CD7-2F14-4391-8620-5917AB902928}"/>
    <cellStyle name="40% - Accent4 7 2 3" xfId="12186" xr:uid="{DB68CEC5-BDB4-4743-BB1A-26D1C921A92D}"/>
    <cellStyle name="40% - Accent4 7 3" xfId="5817" xr:uid="{00000000-0005-0000-0000-000039060000}"/>
    <cellStyle name="40% - Accent4 7 3 2" xfId="14259" xr:uid="{7E894F6A-33F0-45AC-8D9C-25BDBBC050C8}"/>
    <cellStyle name="40% - Accent4 7 4" xfId="10041" xr:uid="{34FB7671-3A0A-406D-A99C-A8D546C92134}"/>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6E858EFD-2EA4-4006-B061-DF1BD94935BE}"/>
    <cellStyle name="40% - Accent4 8 2 3" xfId="12599" xr:uid="{AA3479C9-56CA-4FDE-BAF0-79590186C543}"/>
    <cellStyle name="40% - Accent4 8 3" xfId="6230" xr:uid="{00000000-0005-0000-0000-00003D060000}"/>
    <cellStyle name="40% - Accent4 8 3 2" xfId="14672" xr:uid="{29B017D5-7A36-4252-A872-ED65F4F09C6C}"/>
    <cellStyle name="40% - Accent4 8 4" xfId="10454" xr:uid="{F009929A-DEA5-41F8-B06E-0CC488BC8728}"/>
    <cellStyle name="40% - Accent4 9" xfId="2336" xr:uid="{00000000-0005-0000-0000-00003E060000}"/>
    <cellStyle name="40% - Accent4 9 2" xfId="6643" xr:uid="{00000000-0005-0000-0000-00003F060000}"/>
    <cellStyle name="40% - Accent4 9 2 2" xfId="15085" xr:uid="{46837199-3EBD-4EFB-B67D-4F2B3B94D908}"/>
    <cellStyle name="40% - Accent4 9 3" xfId="10867" xr:uid="{E7807CE3-2E40-4B5F-AF81-F4B5D59037F0}"/>
    <cellStyle name="40% - Accent5" xfId="81" builtinId="47" customBuiltin="1"/>
    <cellStyle name="40% - Accent5 10" xfId="4585" xr:uid="{00000000-0005-0000-0000-000041060000}"/>
    <cellStyle name="40% - Accent5 10 2" xfId="13027" xr:uid="{BB080D7C-7818-4B1A-9DB2-0947EB9A0168}"/>
    <cellStyle name="40% - Accent5 11" xfId="8809" xr:uid="{6DA9BC8C-F4A2-41BB-922C-891FE287C841}"/>
    <cellStyle name="40% - Accent5 2" xfId="82" xr:uid="{00000000-0005-0000-0000-000042060000}"/>
    <cellStyle name="40% - Accent5 2 10" xfId="8810" xr:uid="{1E6E6F34-FCA4-45A5-B0D8-0262DEC4D6EB}"/>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1E01BF59-BA32-4058-91FD-74B7AE814F87}"/>
    <cellStyle name="40% - Accent5 2 2 2 2 2 3" xfId="11371" xr:uid="{79E0A7D3-981E-4D31-B768-0318795AE0BF}"/>
    <cellStyle name="40% - Accent5 2 2 2 2 3" xfId="5002" xr:uid="{00000000-0005-0000-0000-000048060000}"/>
    <cellStyle name="40% - Accent5 2 2 2 2 3 2" xfId="13444" xr:uid="{13D218CE-B4E5-4986-A4B5-926C8080F8AA}"/>
    <cellStyle name="40% - Accent5 2 2 2 2 4" xfId="9226" xr:uid="{BE892DCC-39E2-4DA4-8B80-51D65742B73E}"/>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00764C8A-E3A1-4F46-9BEA-0063F2FB9198}"/>
    <cellStyle name="40% - Accent5 2 2 2 3 2 3" xfId="11784" xr:uid="{615CE601-CBB5-4CFF-89C3-26B337E9D24A}"/>
    <cellStyle name="40% - Accent5 2 2 2 3 3" xfId="5415" xr:uid="{00000000-0005-0000-0000-00004C060000}"/>
    <cellStyle name="40% - Accent5 2 2 2 3 3 2" xfId="13857" xr:uid="{657E9401-8326-4041-A5E3-FDDA82166606}"/>
    <cellStyle name="40% - Accent5 2 2 2 3 4" xfId="9639" xr:uid="{A658D163-A677-46D0-AC5B-322B8194D83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8190A912-4818-4834-8B24-A121DD21E71A}"/>
    <cellStyle name="40% - Accent5 2 2 2 4 2 3" xfId="12197" xr:uid="{09FF4FF9-B9D3-4694-8332-832990651FA3}"/>
    <cellStyle name="40% - Accent5 2 2 2 4 3" xfId="5828" xr:uid="{00000000-0005-0000-0000-000050060000}"/>
    <cellStyle name="40% - Accent5 2 2 2 4 3 2" xfId="14270" xr:uid="{D8D1F11E-440B-4F54-B64B-31C44AA96CF0}"/>
    <cellStyle name="40% - Accent5 2 2 2 4 4" xfId="10052" xr:uid="{EFFF1255-0322-4AE5-A746-272A0ADBA4D4}"/>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44A141FE-6828-4FBC-99F8-0D5F3664319B}"/>
    <cellStyle name="40% - Accent5 2 2 2 5 2 3" xfId="12610" xr:uid="{F5D8C51E-3951-4962-B728-8C0676D7250F}"/>
    <cellStyle name="40% - Accent5 2 2 2 5 3" xfId="6241" xr:uid="{00000000-0005-0000-0000-000054060000}"/>
    <cellStyle name="40% - Accent5 2 2 2 5 3 2" xfId="14683" xr:uid="{C2A089A0-1DAE-4F97-8C41-2B1BE031376F}"/>
    <cellStyle name="40% - Accent5 2 2 2 5 4" xfId="10465" xr:uid="{7A57A9C5-F4AC-4ACF-AEBC-D130E6DB0D90}"/>
    <cellStyle name="40% - Accent5 2 2 2 6" xfId="2347" xr:uid="{00000000-0005-0000-0000-000055060000}"/>
    <cellStyle name="40% - Accent5 2 2 2 6 2" xfId="6654" xr:uid="{00000000-0005-0000-0000-000056060000}"/>
    <cellStyle name="40% - Accent5 2 2 2 6 2 2" xfId="15096" xr:uid="{4A83E0EB-8909-4022-9C60-42978438E5C4}"/>
    <cellStyle name="40% - Accent5 2 2 2 6 3" xfId="10878" xr:uid="{461FAD40-DB99-42F8-A0F0-1440B067014B}"/>
    <cellStyle name="40% - Accent5 2 2 2 7" xfId="4588" xr:uid="{00000000-0005-0000-0000-000057060000}"/>
    <cellStyle name="40% - Accent5 2 2 2 7 2" xfId="13030" xr:uid="{39713966-3723-47EE-81FA-8C2223314773}"/>
    <cellStyle name="40% - Accent5 2 2 2 8" xfId="8812" xr:uid="{8E61829C-84ED-4C3B-A9D7-A4AABD6CF8FC}"/>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6090CC8C-6A2A-4AAC-AB49-912D40745E11}"/>
    <cellStyle name="40% - Accent5 2 2 3 2 3" xfId="11370" xr:uid="{72F7F573-320D-491C-99A3-F80348F7135A}"/>
    <cellStyle name="40% - Accent5 2 2 3 3" xfId="5001" xr:uid="{00000000-0005-0000-0000-00005B060000}"/>
    <cellStyle name="40% - Accent5 2 2 3 3 2" xfId="13443" xr:uid="{AD89496C-5D19-4902-A496-B931181AADF2}"/>
    <cellStyle name="40% - Accent5 2 2 3 4" xfId="9225" xr:uid="{2D66B85E-480B-4095-A357-9FCB905331D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26DDD74D-010A-4E78-AAC8-5959DE8A6D40}"/>
    <cellStyle name="40% - Accent5 2 2 4 2 3" xfId="11783" xr:uid="{A0A7BBD1-B63E-4DC4-BB4C-92B49986EDCE}"/>
    <cellStyle name="40% - Accent5 2 2 4 3" xfId="5414" xr:uid="{00000000-0005-0000-0000-00005F060000}"/>
    <cellStyle name="40% - Accent5 2 2 4 3 2" xfId="13856" xr:uid="{8516AE1E-7D11-4F5D-8BA9-731ED4816669}"/>
    <cellStyle name="40% - Accent5 2 2 4 4" xfId="9638" xr:uid="{52931560-5A05-4FE6-B99E-F9243B29395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B3E7136E-1682-4B3C-AFAD-7C82215352D1}"/>
    <cellStyle name="40% - Accent5 2 2 5 2 3" xfId="12196" xr:uid="{E17E1B8D-C47D-42BF-A820-77489BC45126}"/>
    <cellStyle name="40% - Accent5 2 2 5 3" xfId="5827" xr:uid="{00000000-0005-0000-0000-000063060000}"/>
    <cellStyle name="40% - Accent5 2 2 5 3 2" xfId="14269" xr:uid="{327F2187-BAA1-433A-A6E2-B88EED065855}"/>
    <cellStyle name="40% - Accent5 2 2 5 4" xfId="10051" xr:uid="{29883F30-03A1-4F9E-A305-38AA0328FA41}"/>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8610CE2D-0DC1-4451-8513-074000746632}"/>
    <cellStyle name="40% - Accent5 2 2 6 2 3" xfId="12609" xr:uid="{68FB60F1-1FE7-4A91-86A7-F1B0B5B384E4}"/>
    <cellStyle name="40% - Accent5 2 2 6 3" xfId="6240" xr:uid="{00000000-0005-0000-0000-000067060000}"/>
    <cellStyle name="40% - Accent5 2 2 6 3 2" xfId="14682" xr:uid="{960666DE-E2DB-48E9-BFC2-A1DD71AAAA82}"/>
    <cellStyle name="40% - Accent5 2 2 6 4" xfId="10464" xr:uid="{3887019E-883D-4B33-A1D7-3860BF9939ED}"/>
    <cellStyle name="40% - Accent5 2 2 7" xfId="2346" xr:uid="{00000000-0005-0000-0000-000068060000}"/>
    <cellStyle name="40% - Accent5 2 2 7 2" xfId="6653" xr:uid="{00000000-0005-0000-0000-000069060000}"/>
    <cellStyle name="40% - Accent5 2 2 7 2 2" xfId="15095" xr:uid="{00A5EBB7-345C-4805-BA11-03346E9A9287}"/>
    <cellStyle name="40% - Accent5 2 2 7 3" xfId="10877" xr:uid="{37706E23-37ED-4B08-8CEF-99CD0D592589}"/>
    <cellStyle name="40% - Accent5 2 2 8" xfId="4587" xr:uid="{00000000-0005-0000-0000-00006A060000}"/>
    <cellStyle name="40% - Accent5 2 2 8 2" xfId="13029" xr:uid="{405F14FC-BE60-435E-B553-856559481F3D}"/>
    <cellStyle name="40% - Accent5 2 2 9" xfId="8811" xr:uid="{44F35364-64D4-4E16-B208-5FAF226D105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EA96F381-C4FC-49D3-9D23-C8A4BAB7600D}"/>
    <cellStyle name="40% - Accent5 2 3 2 2 3" xfId="11372" xr:uid="{E7224D3D-0E3B-4D8D-9F15-461F2BE2925B}"/>
    <cellStyle name="40% - Accent5 2 3 2 3" xfId="5003" xr:uid="{00000000-0005-0000-0000-00006F060000}"/>
    <cellStyle name="40% - Accent5 2 3 2 3 2" xfId="13445" xr:uid="{4BEC1396-081A-4259-BFD3-B7031BF1AF2E}"/>
    <cellStyle name="40% - Accent5 2 3 2 4" xfId="9227" xr:uid="{36F3FC0F-7971-461F-9640-C9F9EAFAA30A}"/>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12483956-3C7C-428A-9DFA-CB441558291E}"/>
    <cellStyle name="40% - Accent5 2 3 3 2 3" xfId="11785" xr:uid="{25C1EC7D-C4C8-480E-9505-CD05E838B34F}"/>
    <cellStyle name="40% - Accent5 2 3 3 3" xfId="5416" xr:uid="{00000000-0005-0000-0000-000073060000}"/>
    <cellStyle name="40% - Accent5 2 3 3 3 2" xfId="13858" xr:uid="{07A2C1EB-A3ED-41BE-A3B2-C6D915200AC1}"/>
    <cellStyle name="40% - Accent5 2 3 3 4" xfId="9640" xr:uid="{50255F88-84F0-4CD5-AEC1-E6B4A2DD77FD}"/>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B26BFBA3-A242-4310-9A44-9ABED6850BD3}"/>
    <cellStyle name="40% - Accent5 2 3 4 2 3" xfId="12198" xr:uid="{44D9E93B-893A-496C-BDB8-1995A9992E02}"/>
    <cellStyle name="40% - Accent5 2 3 4 3" xfId="5829" xr:uid="{00000000-0005-0000-0000-000077060000}"/>
    <cellStyle name="40% - Accent5 2 3 4 3 2" xfId="14271" xr:uid="{7D54398E-AFD4-42E8-A751-113E9367BB9C}"/>
    <cellStyle name="40% - Accent5 2 3 4 4" xfId="10053" xr:uid="{E2848C34-FED2-43A4-B622-841CCACA265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98D75927-1E3F-47A7-928D-A687F0A09BBA}"/>
    <cellStyle name="40% - Accent5 2 3 5 2 3" xfId="12611" xr:uid="{30F7C01D-9609-4D80-BC60-B7755A96672C}"/>
    <cellStyle name="40% - Accent5 2 3 5 3" xfId="6242" xr:uid="{00000000-0005-0000-0000-00007B060000}"/>
    <cellStyle name="40% - Accent5 2 3 5 3 2" xfId="14684" xr:uid="{5BFB8B36-2701-4CC1-BEA5-39F46D5911B4}"/>
    <cellStyle name="40% - Accent5 2 3 5 4" xfId="10466" xr:uid="{0A858F4E-DF0A-49C0-BC2C-92C12C9AC06B}"/>
    <cellStyle name="40% - Accent5 2 3 6" xfId="2348" xr:uid="{00000000-0005-0000-0000-00007C060000}"/>
    <cellStyle name="40% - Accent5 2 3 6 2" xfId="6655" xr:uid="{00000000-0005-0000-0000-00007D060000}"/>
    <cellStyle name="40% - Accent5 2 3 6 2 2" xfId="15097" xr:uid="{B1F40ADA-378A-4C6A-ABED-613875921230}"/>
    <cellStyle name="40% - Accent5 2 3 6 3" xfId="10879" xr:uid="{03A7CB79-217A-4B84-9AF8-FAFA85978B47}"/>
    <cellStyle name="40% - Accent5 2 3 7" xfId="4589" xr:uid="{00000000-0005-0000-0000-00007E060000}"/>
    <cellStyle name="40% - Accent5 2 3 7 2" xfId="13031" xr:uid="{3F08A448-D33E-4E45-A4C2-C1F997BFF455}"/>
    <cellStyle name="40% - Accent5 2 3 8" xfId="8813" xr:uid="{1AC662C4-904D-46FD-93C7-297D5A49212B}"/>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2EA4BB60-24DA-48E3-8E14-2DB8FB743604}"/>
    <cellStyle name="40% - Accent5 2 4 2 3" xfId="11369" xr:uid="{A9E046FB-7CE6-4CCC-A74D-50267CA2F8B1}"/>
    <cellStyle name="40% - Accent5 2 4 3" xfId="5000" xr:uid="{00000000-0005-0000-0000-000082060000}"/>
    <cellStyle name="40% - Accent5 2 4 3 2" xfId="13442" xr:uid="{D7A58245-DCCC-404D-8ACF-E9470A99967E}"/>
    <cellStyle name="40% - Accent5 2 4 4" xfId="9224" xr:uid="{60795CA5-4B23-42B3-830C-D304B9D6E572}"/>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DFD18D41-28A7-4B84-81E3-B83EB9BDE2D8}"/>
    <cellStyle name="40% - Accent5 2 5 2 3" xfId="11782" xr:uid="{3CD1C044-9F0A-4232-ACFF-A54868CA4EFF}"/>
    <cellStyle name="40% - Accent5 2 5 3" xfId="5413" xr:uid="{00000000-0005-0000-0000-000086060000}"/>
    <cellStyle name="40% - Accent5 2 5 3 2" xfId="13855" xr:uid="{41B0ED24-01A3-4508-81B0-8DB71E89F14B}"/>
    <cellStyle name="40% - Accent5 2 5 4" xfId="9637" xr:uid="{EE395FA7-1AFF-4F74-A5E7-9BB9C1F8A0ED}"/>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06C449A1-9A04-4235-845E-5FF01BB428C3}"/>
    <cellStyle name="40% - Accent5 2 6 2 3" xfId="12195" xr:uid="{FCDD0CC9-FE00-452B-960B-2F6A49B980CB}"/>
    <cellStyle name="40% - Accent5 2 6 3" xfId="5826" xr:uid="{00000000-0005-0000-0000-00008A060000}"/>
    <cellStyle name="40% - Accent5 2 6 3 2" xfId="14268" xr:uid="{DEE8B949-BEFD-4723-9411-289B5399CC8E}"/>
    <cellStyle name="40% - Accent5 2 6 4" xfId="10050" xr:uid="{10613F1E-0FA7-48C9-81B8-B95478028D2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91B672A0-2A85-43C3-841F-03312A8B3080}"/>
    <cellStyle name="40% - Accent5 2 7 2 3" xfId="12608" xr:uid="{E5AFE3F3-0397-47A4-9745-E8EA4ACE2045}"/>
    <cellStyle name="40% - Accent5 2 7 3" xfId="6239" xr:uid="{00000000-0005-0000-0000-00008E060000}"/>
    <cellStyle name="40% - Accent5 2 7 3 2" xfId="14681" xr:uid="{A4AA72D4-7D05-4C17-B491-155AE7F4EB0B}"/>
    <cellStyle name="40% - Accent5 2 7 4" xfId="10463" xr:uid="{BEBC0634-E564-4FE4-980D-8554A9A1B80A}"/>
    <cellStyle name="40% - Accent5 2 8" xfId="2345" xr:uid="{00000000-0005-0000-0000-00008F060000}"/>
    <cellStyle name="40% - Accent5 2 8 2" xfId="6652" xr:uid="{00000000-0005-0000-0000-000090060000}"/>
    <cellStyle name="40% - Accent5 2 8 2 2" xfId="15094" xr:uid="{DD3E9B37-C3D4-45D6-B715-BBA70FB0521A}"/>
    <cellStyle name="40% - Accent5 2 8 3" xfId="10876" xr:uid="{ABC76043-FD36-4B84-92B4-D61F1AB1830F}"/>
    <cellStyle name="40% - Accent5 2 9" xfId="4586" xr:uid="{00000000-0005-0000-0000-000091060000}"/>
    <cellStyle name="40% - Accent5 2 9 2" xfId="13028" xr:uid="{9264AB59-96BB-4EDB-8CA9-054C6C4C25D4}"/>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2D29B644-3A05-47E6-943C-AE9E12897D45}"/>
    <cellStyle name="40% - Accent5 3 2 2 2 3" xfId="11374" xr:uid="{A612C86E-49AD-4ECE-82C0-B0E8DB8EB10D}"/>
    <cellStyle name="40% - Accent5 3 2 2 3" xfId="5005" xr:uid="{00000000-0005-0000-0000-000097060000}"/>
    <cellStyle name="40% - Accent5 3 2 2 3 2" xfId="13447" xr:uid="{8AA1AE94-8A14-478B-9390-503BCA369C09}"/>
    <cellStyle name="40% - Accent5 3 2 2 4" xfId="9229" xr:uid="{38F2D5A9-F25E-43F8-A605-2B0353F290C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3060BC19-E31D-4692-A390-2F8BA547A5C9}"/>
    <cellStyle name="40% - Accent5 3 2 3 2 3" xfId="11787" xr:uid="{7050A5DA-7EA1-49CB-8AB7-9487CF2594D2}"/>
    <cellStyle name="40% - Accent5 3 2 3 3" xfId="5418" xr:uid="{00000000-0005-0000-0000-00009B060000}"/>
    <cellStyle name="40% - Accent5 3 2 3 3 2" xfId="13860" xr:uid="{81CF1B68-8D07-43C2-A46B-880C5CC106A5}"/>
    <cellStyle name="40% - Accent5 3 2 3 4" xfId="9642" xr:uid="{CD4FA182-2842-46E7-9253-B00D6FDC1244}"/>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CDE4F20B-79D5-4F2E-8BAF-CF9B29D07CF4}"/>
    <cellStyle name="40% - Accent5 3 2 4 2 3" xfId="12200" xr:uid="{1A99CB47-BF1D-43F1-885D-53E47264FB29}"/>
    <cellStyle name="40% - Accent5 3 2 4 3" xfId="5831" xr:uid="{00000000-0005-0000-0000-00009F060000}"/>
    <cellStyle name="40% - Accent5 3 2 4 3 2" xfId="14273" xr:uid="{EE67CE0B-1088-4168-AB40-C7DC01E24B21}"/>
    <cellStyle name="40% - Accent5 3 2 4 4" xfId="10055" xr:uid="{77287074-7213-4C0D-A9C5-B8F7AF63E28D}"/>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24DE17A7-0DD5-4469-8D3B-23C5BD6B3E1D}"/>
    <cellStyle name="40% - Accent5 3 2 5 2 3" xfId="12613" xr:uid="{506DB999-8A8B-40C0-8833-DCC83C7499B9}"/>
    <cellStyle name="40% - Accent5 3 2 5 3" xfId="6244" xr:uid="{00000000-0005-0000-0000-0000A3060000}"/>
    <cellStyle name="40% - Accent5 3 2 5 3 2" xfId="14686" xr:uid="{E3EE2F83-AF74-42F3-8FA7-D84F21DAB063}"/>
    <cellStyle name="40% - Accent5 3 2 5 4" xfId="10468" xr:uid="{D7637135-5272-45A8-9F17-DD750ED0C326}"/>
    <cellStyle name="40% - Accent5 3 2 6" xfId="2350" xr:uid="{00000000-0005-0000-0000-0000A4060000}"/>
    <cellStyle name="40% - Accent5 3 2 6 2" xfId="6657" xr:uid="{00000000-0005-0000-0000-0000A5060000}"/>
    <cellStyle name="40% - Accent5 3 2 6 2 2" xfId="15099" xr:uid="{6A7627A5-8382-40F0-A6DF-543B2215BEE5}"/>
    <cellStyle name="40% - Accent5 3 2 6 3" xfId="10881" xr:uid="{0CE89519-E674-4636-9DE0-CA89E0617614}"/>
    <cellStyle name="40% - Accent5 3 2 7" xfId="4591" xr:uid="{00000000-0005-0000-0000-0000A6060000}"/>
    <cellStyle name="40% - Accent5 3 2 7 2" xfId="13033" xr:uid="{6E3A3E74-86AC-4199-A717-579C1693ABC7}"/>
    <cellStyle name="40% - Accent5 3 2 8" xfId="8815" xr:uid="{FA37F9CD-3285-4003-A412-644BAB34FD6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DD402C14-29D1-4EEB-B2F7-0F5D2DA54FC6}"/>
    <cellStyle name="40% - Accent5 3 3 2 3" xfId="11373" xr:uid="{502CC3EE-1542-43F6-BAD4-09421E2FA311}"/>
    <cellStyle name="40% - Accent5 3 3 3" xfId="5004" xr:uid="{00000000-0005-0000-0000-0000AA060000}"/>
    <cellStyle name="40% - Accent5 3 3 3 2" xfId="13446" xr:uid="{96A3A4CF-FC53-4118-914A-3E9BE435D729}"/>
    <cellStyle name="40% - Accent5 3 3 4" xfId="9228" xr:uid="{A6390085-97DE-47D0-A965-B8FBDD0D03EE}"/>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EC07D3C2-6058-4821-97FE-575FE9F8C98E}"/>
    <cellStyle name="40% - Accent5 3 4 2 3" xfId="11786" xr:uid="{5509C853-310D-449C-8803-B5130D4F0713}"/>
    <cellStyle name="40% - Accent5 3 4 3" xfId="5417" xr:uid="{00000000-0005-0000-0000-0000AE060000}"/>
    <cellStyle name="40% - Accent5 3 4 3 2" xfId="13859" xr:uid="{BB6898F1-A1E1-4430-8B3F-0F5913FD3273}"/>
    <cellStyle name="40% - Accent5 3 4 4" xfId="9641" xr:uid="{F8C418B2-5298-421F-B8DC-2EB34AFF6829}"/>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3B70DEEB-463C-4D97-BA34-C97CC76A9DAE}"/>
    <cellStyle name="40% - Accent5 3 5 2 3" xfId="12199" xr:uid="{0F57578B-C1EA-4F06-9309-E612BF751FFA}"/>
    <cellStyle name="40% - Accent5 3 5 3" xfId="5830" xr:uid="{00000000-0005-0000-0000-0000B2060000}"/>
    <cellStyle name="40% - Accent5 3 5 3 2" xfId="14272" xr:uid="{1BE652DA-205B-406A-B9CA-1D600978F311}"/>
    <cellStyle name="40% - Accent5 3 5 4" xfId="10054" xr:uid="{1BBA741E-42CF-4677-9302-225B53177F28}"/>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99C23C2C-7EB2-4C71-BEA8-D811DB78EA4F}"/>
    <cellStyle name="40% - Accent5 3 6 2 3" xfId="12612" xr:uid="{85C9844C-C389-4DB4-A6FB-994FFA7C671D}"/>
    <cellStyle name="40% - Accent5 3 6 3" xfId="6243" xr:uid="{00000000-0005-0000-0000-0000B6060000}"/>
    <cellStyle name="40% - Accent5 3 6 3 2" xfId="14685" xr:uid="{E74AE724-BA34-48C3-A2CA-30CB3593AB9F}"/>
    <cellStyle name="40% - Accent5 3 6 4" xfId="10467" xr:uid="{0F755750-47A2-4646-80E9-44BC123BFF7D}"/>
    <cellStyle name="40% - Accent5 3 7" xfId="2349" xr:uid="{00000000-0005-0000-0000-0000B7060000}"/>
    <cellStyle name="40% - Accent5 3 7 2" xfId="6656" xr:uid="{00000000-0005-0000-0000-0000B8060000}"/>
    <cellStyle name="40% - Accent5 3 7 2 2" xfId="15098" xr:uid="{425B77AC-55B3-4103-A106-44EF7364F715}"/>
    <cellStyle name="40% - Accent5 3 7 3" xfId="10880" xr:uid="{7DC0D247-1C96-4005-ABBF-F158C67E5DDB}"/>
    <cellStyle name="40% - Accent5 3 8" xfId="4590" xr:uid="{00000000-0005-0000-0000-0000B9060000}"/>
    <cellStyle name="40% - Accent5 3 8 2" xfId="13032" xr:uid="{A2EDAAAA-6640-4A40-B56C-5E757686C57F}"/>
    <cellStyle name="40% - Accent5 3 9" xfId="8814" xr:uid="{6A18B529-0C07-4CC7-AAC5-2D2C1963482F}"/>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047A8140-13FA-4AE1-A2AB-958E346E324D}"/>
    <cellStyle name="40% - Accent5 4 2 2 3" xfId="11375" xr:uid="{3D29923F-2067-4FD4-AB0E-280522FDB492}"/>
    <cellStyle name="40% - Accent5 4 2 3" xfId="5006" xr:uid="{00000000-0005-0000-0000-0000BE060000}"/>
    <cellStyle name="40% - Accent5 4 2 3 2" xfId="13448" xr:uid="{F1927B54-7E5D-4201-90C6-831785F81382}"/>
    <cellStyle name="40% - Accent5 4 2 4" xfId="9230" xr:uid="{43B17DDF-ECB7-4477-8959-E6E6F3F93499}"/>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26C127DA-3194-48BC-83DE-8EFA2B34C9D6}"/>
    <cellStyle name="40% - Accent5 4 3 2 3" xfId="11788" xr:uid="{599B59F8-CBCB-40BC-8C3A-EC61168C4DBB}"/>
    <cellStyle name="40% - Accent5 4 3 3" xfId="5419" xr:uid="{00000000-0005-0000-0000-0000C2060000}"/>
    <cellStyle name="40% - Accent5 4 3 3 2" xfId="13861" xr:uid="{AF80988A-D9E7-4AA3-985B-B4C8F79BDFD9}"/>
    <cellStyle name="40% - Accent5 4 3 4" xfId="9643" xr:uid="{7B83F1E2-F96F-4E72-A8D9-031AD807CB4B}"/>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2C5D8904-C0FB-4AFD-867B-B122AB99EEC4}"/>
    <cellStyle name="40% - Accent5 4 4 2 3" xfId="12201" xr:uid="{0AE15E19-7A7A-4070-8060-632704EF6B7E}"/>
    <cellStyle name="40% - Accent5 4 4 3" xfId="5832" xr:uid="{00000000-0005-0000-0000-0000C6060000}"/>
    <cellStyle name="40% - Accent5 4 4 3 2" xfId="14274" xr:uid="{3FFC1D90-E70C-48B6-913E-E0A9DF0BCB7E}"/>
    <cellStyle name="40% - Accent5 4 4 4" xfId="10056" xr:uid="{B7DAF19B-A0CB-460F-96E9-9E57CF928EEE}"/>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88860F24-A1A9-462F-AD16-271B4ECAD1A0}"/>
    <cellStyle name="40% - Accent5 4 5 2 3" xfId="12614" xr:uid="{58BD0E65-A3BE-4CF1-8BC4-C9FE87F5E3A3}"/>
    <cellStyle name="40% - Accent5 4 5 3" xfId="6245" xr:uid="{00000000-0005-0000-0000-0000CA060000}"/>
    <cellStyle name="40% - Accent5 4 5 3 2" xfId="14687" xr:uid="{BE22EB7D-F179-4C56-A9C2-1A41E3AF7C05}"/>
    <cellStyle name="40% - Accent5 4 5 4" xfId="10469" xr:uid="{715A7EBF-10F3-4C98-A986-5581B89E3689}"/>
    <cellStyle name="40% - Accent5 4 6" xfId="2351" xr:uid="{00000000-0005-0000-0000-0000CB060000}"/>
    <cellStyle name="40% - Accent5 4 6 2" xfId="6658" xr:uid="{00000000-0005-0000-0000-0000CC060000}"/>
    <cellStyle name="40% - Accent5 4 6 2 2" xfId="15100" xr:uid="{97DD7410-A1EE-4170-8BDD-C391E0F23DAA}"/>
    <cellStyle name="40% - Accent5 4 6 3" xfId="10882" xr:uid="{576D2A62-8BFD-4D8C-B146-F50337A655F8}"/>
    <cellStyle name="40% - Accent5 4 7" xfId="4592" xr:uid="{00000000-0005-0000-0000-0000CD060000}"/>
    <cellStyle name="40% - Accent5 4 7 2" xfId="13034" xr:uid="{21061EAA-9C82-4D42-BAA6-83B3FF95BA45}"/>
    <cellStyle name="40% - Accent5 4 8" xfId="8816" xr:uid="{F7A49E38-8B5D-47F0-AD4C-63A3B20B1D8F}"/>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88C64EE5-B3EA-44FC-B1C5-6BA066D86F23}"/>
    <cellStyle name="40% - Accent5 5 2 3" xfId="11368" xr:uid="{B1830CF4-D7A6-4E60-B0BE-EA9E0CD2A5BB}"/>
    <cellStyle name="40% - Accent5 5 3" xfId="4999" xr:uid="{00000000-0005-0000-0000-0000D1060000}"/>
    <cellStyle name="40% - Accent5 5 3 2" xfId="13441" xr:uid="{28043D15-73F5-4951-9FB4-A1266BADF5A2}"/>
    <cellStyle name="40% - Accent5 5 4" xfId="9223" xr:uid="{69E4C833-AFAC-49EA-936B-043F94FEB3D3}"/>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E2F9CE3C-8D83-4384-A32F-999C93C5A27C}"/>
    <cellStyle name="40% - Accent5 6 2 3" xfId="11781" xr:uid="{5F83D4AA-0696-46A3-9859-75A9D9A8B04B}"/>
    <cellStyle name="40% - Accent5 6 3" xfId="5412" xr:uid="{00000000-0005-0000-0000-0000D5060000}"/>
    <cellStyle name="40% - Accent5 6 3 2" xfId="13854" xr:uid="{52EB82FB-0A1F-46C0-9BA9-1093677766D1}"/>
    <cellStyle name="40% - Accent5 6 4" xfId="9636" xr:uid="{8DF8C3BB-C9FC-4A0C-9671-CBBE0A856808}"/>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4FB1D4A9-F8BF-4A04-BEBF-EA661C9879DE}"/>
    <cellStyle name="40% - Accent5 7 2 3" xfId="12194" xr:uid="{BC959439-65E3-402A-8D5E-B8C796F3DA5D}"/>
    <cellStyle name="40% - Accent5 7 3" xfId="5825" xr:uid="{00000000-0005-0000-0000-0000D9060000}"/>
    <cellStyle name="40% - Accent5 7 3 2" xfId="14267" xr:uid="{93679805-9594-439E-9F74-63FA95B27F2D}"/>
    <cellStyle name="40% - Accent5 7 4" xfId="10049" xr:uid="{84E5D4C8-A0E4-498F-B5E8-0D375F7667A2}"/>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B855C09C-CD29-41F4-A04B-DE85FCB23E8A}"/>
    <cellStyle name="40% - Accent5 8 2 3" xfId="12607" xr:uid="{1F55E2C1-4061-47B8-B339-657D41ABDCDF}"/>
    <cellStyle name="40% - Accent5 8 3" xfId="6238" xr:uid="{00000000-0005-0000-0000-0000DD060000}"/>
    <cellStyle name="40% - Accent5 8 3 2" xfId="14680" xr:uid="{AF28E1E5-71A1-4259-93DB-453AF19F62CF}"/>
    <cellStyle name="40% - Accent5 8 4" xfId="10462" xr:uid="{201F994B-D5A1-4A79-9270-0EA967327E76}"/>
    <cellStyle name="40% - Accent5 9" xfId="2344" xr:uid="{00000000-0005-0000-0000-0000DE060000}"/>
    <cellStyle name="40% - Accent5 9 2" xfId="6651" xr:uid="{00000000-0005-0000-0000-0000DF060000}"/>
    <cellStyle name="40% - Accent5 9 2 2" xfId="15093" xr:uid="{62F8EF30-7502-47DE-A6E2-6AA3A2F74871}"/>
    <cellStyle name="40% - Accent5 9 3" xfId="10875" xr:uid="{732AC5D5-EE16-4A0C-8C8D-6FB7FC816E02}"/>
    <cellStyle name="40% - Accent6" xfId="89" builtinId="51" customBuiltin="1"/>
    <cellStyle name="40% - Accent6 10" xfId="4593" xr:uid="{00000000-0005-0000-0000-0000E1060000}"/>
    <cellStyle name="40% - Accent6 10 2" xfId="13035" xr:uid="{1E0E4347-F371-4C12-B594-A21F38822050}"/>
    <cellStyle name="40% - Accent6 11" xfId="8817" xr:uid="{29767E32-02DB-4F72-A610-AC3A520A1E98}"/>
    <cellStyle name="40% - Accent6 2" xfId="90" xr:uid="{00000000-0005-0000-0000-0000E2060000}"/>
    <cellStyle name="40% - Accent6 2 10" xfId="8818" xr:uid="{F4D90D6A-1779-465F-882B-A108A1AA32FF}"/>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3F688D50-286E-4035-837F-A1DBE8A6E7FE}"/>
    <cellStyle name="40% - Accent6 2 2 2 2 2 3" xfId="11379" xr:uid="{6E20142D-A7B8-49A3-8BB5-0B66856328A2}"/>
    <cellStyle name="40% - Accent6 2 2 2 2 3" xfId="5010" xr:uid="{00000000-0005-0000-0000-0000E8060000}"/>
    <cellStyle name="40% - Accent6 2 2 2 2 3 2" xfId="13452" xr:uid="{096522F8-600E-444B-A31D-9B6D62AE4888}"/>
    <cellStyle name="40% - Accent6 2 2 2 2 4" xfId="9234" xr:uid="{C17500D6-394D-4B73-9EB2-191D1DC4565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8A4D615C-0DDC-45F7-A877-7DF74DC28CCF}"/>
    <cellStyle name="40% - Accent6 2 2 2 3 2 3" xfId="11792" xr:uid="{E47296BA-5663-426E-8459-5CFA9DF761FC}"/>
    <cellStyle name="40% - Accent6 2 2 2 3 3" xfId="5423" xr:uid="{00000000-0005-0000-0000-0000EC060000}"/>
    <cellStyle name="40% - Accent6 2 2 2 3 3 2" xfId="13865" xr:uid="{04EEC5D1-7D58-49CF-9BF4-8E538505DFF3}"/>
    <cellStyle name="40% - Accent6 2 2 2 3 4" xfId="9647" xr:uid="{B62F2C5B-73C8-42A1-B34E-ABE2F2DB53F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88FD498E-8406-4B62-BE4B-59D42518C461}"/>
    <cellStyle name="40% - Accent6 2 2 2 4 2 3" xfId="12205" xr:uid="{0FC3DD3E-02A8-453A-9AF1-C5C3334FC5B3}"/>
    <cellStyle name="40% - Accent6 2 2 2 4 3" xfId="5836" xr:uid="{00000000-0005-0000-0000-0000F0060000}"/>
    <cellStyle name="40% - Accent6 2 2 2 4 3 2" xfId="14278" xr:uid="{FD1B1604-5B62-4EAA-B801-3D4B2FFCC20F}"/>
    <cellStyle name="40% - Accent6 2 2 2 4 4" xfId="10060" xr:uid="{E22BFCA1-11C6-454B-9BB2-AE1EE75CADB7}"/>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DFE0E483-8736-483F-8F9F-18DFF3D5613D}"/>
    <cellStyle name="40% - Accent6 2 2 2 5 2 3" xfId="12618" xr:uid="{A963D48F-4596-4AEC-82C6-096FEA820F1A}"/>
    <cellStyle name="40% - Accent6 2 2 2 5 3" xfId="6249" xr:uid="{00000000-0005-0000-0000-0000F4060000}"/>
    <cellStyle name="40% - Accent6 2 2 2 5 3 2" xfId="14691" xr:uid="{0E4AA897-51C9-4A2F-BFE1-B3433F729B34}"/>
    <cellStyle name="40% - Accent6 2 2 2 5 4" xfId="10473" xr:uid="{B48551E6-E927-42B0-A0C2-D45C383621A4}"/>
    <cellStyle name="40% - Accent6 2 2 2 6" xfId="2355" xr:uid="{00000000-0005-0000-0000-0000F5060000}"/>
    <cellStyle name="40% - Accent6 2 2 2 6 2" xfId="6662" xr:uid="{00000000-0005-0000-0000-0000F6060000}"/>
    <cellStyle name="40% - Accent6 2 2 2 6 2 2" xfId="15104" xr:uid="{A28867A0-350C-4238-AAA5-58DCD07F7C72}"/>
    <cellStyle name="40% - Accent6 2 2 2 6 3" xfId="10886" xr:uid="{CECDB667-9A14-4093-AE6F-7242567F0E46}"/>
    <cellStyle name="40% - Accent6 2 2 2 7" xfId="4596" xr:uid="{00000000-0005-0000-0000-0000F7060000}"/>
    <cellStyle name="40% - Accent6 2 2 2 7 2" xfId="13038" xr:uid="{2DD2D290-F713-40BA-BA26-149D661AFF51}"/>
    <cellStyle name="40% - Accent6 2 2 2 8" xfId="8820" xr:uid="{4FC25F8C-1FE8-4BF8-B8C4-FB5AC40AFE0A}"/>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4BC0AB73-EC36-4677-84A5-1CE7FDC24454}"/>
    <cellStyle name="40% - Accent6 2 2 3 2 3" xfId="11378" xr:uid="{B244639D-4840-4A34-BF42-3BB8A7025383}"/>
    <cellStyle name="40% - Accent6 2 2 3 3" xfId="5009" xr:uid="{00000000-0005-0000-0000-0000FB060000}"/>
    <cellStyle name="40% - Accent6 2 2 3 3 2" xfId="13451" xr:uid="{C7AC1CC1-6200-43D1-92BF-B974993EA1A0}"/>
    <cellStyle name="40% - Accent6 2 2 3 4" xfId="9233" xr:uid="{B880FE0B-3EA6-4E61-BDDC-5989D3531F4C}"/>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75FBF1EA-67A4-4CB4-B764-891D32B9F6F1}"/>
    <cellStyle name="40% - Accent6 2 2 4 2 3" xfId="11791" xr:uid="{CB263E08-CA96-4782-A222-08389A0CA423}"/>
    <cellStyle name="40% - Accent6 2 2 4 3" xfId="5422" xr:uid="{00000000-0005-0000-0000-0000FF060000}"/>
    <cellStyle name="40% - Accent6 2 2 4 3 2" xfId="13864" xr:uid="{C90B313A-3D94-4B5F-9AFE-C07C8E069B9B}"/>
    <cellStyle name="40% - Accent6 2 2 4 4" xfId="9646" xr:uid="{CBCF5CD2-99CB-4D12-87E8-12D1EE61439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D5AF2C33-091A-4A10-84F0-9E0D1B85ED2D}"/>
    <cellStyle name="40% - Accent6 2 2 5 2 3" xfId="12204" xr:uid="{8B3EEE9B-7F12-4E7D-B6A7-C8CEEC78972B}"/>
    <cellStyle name="40% - Accent6 2 2 5 3" xfId="5835" xr:uid="{00000000-0005-0000-0000-000003070000}"/>
    <cellStyle name="40% - Accent6 2 2 5 3 2" xfId="14277" xr:uid="{4FC1F641-5052-4BC1-9A25-31447A6E85DC}"/>
    <cellStyle name="40% - Accent6 2 2 5 4" xfId="10059" xr:uid="{848C9DE7-01A3-4044-BE61-69BA70E102D8}"/>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165557A8-D625-478F-8396-5426B05F2C65}"/>
    <cellStyle name="40% - Accent6 2 2 6 2 3" xfId="12617" xr:uid="{65891C59-D9E0-4EE9-AA82-F7A196BFEE0A}"/>
    <cellStyle name="40% - Accent6 2 2 6 3" xfId="6248" xr:uid="{00000000-0005-0000-0000-000007070000}"/>
    <cellStyle name="40% - Accent6 2 2 6 3 2" xfId="14690" xr:uid="{98E35EA9-1408-49BB-BC96-062FA6C32098}"/>
    <cellStyle name="40% - Accent6 2 2 6 4" xfId="10472" xr:uid="{2A1F532C-34EF-4300-A11A-A6A7AD562D27}"/>
    <cellStyle name="40% - Accent6 2 2 7" xfId="2354" xr:uid="{00000000-0005-0000-0000-000008070000}"/>
    <cellStyle name="40% - Accent6 2 2 7 2" xfId="6661" xr:uid="{00000000-0005-0000-0000-000009070000}"/>
    <cellStyle name="40% - Accent6 2 2 7 2 2" xfId="15103" xr:uid="{BA5C95C3-51D4-4DB6-9B91-E2A2045584CE}"/>
    <cellStyle name="40% - Accent6 2 2 7 3" xfId="10885" xr:uid="{2E31743F-9CB7-4875-89A3-42D9898F80DC}"/>
    <cellStyle name="40% - Accent6 2 2 8" xfId="4595" xr:uid="{00000000-0005-0000-0000-00000A070000}"/>
    <cellStyle name="40% - Accent6 2 2 8 2" xfId="13037" xr:uid="{5CD97CFD-5254-4D8B-92C0-588C4A467A1A}"/>
    <cellStyle name="40% - Accent6 2 2 9" xfId="8819" xr:uid="{3D808F53-8BDB-4C1C-BC2D-C2CE5FB6D6E2}"/>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138E5D4-4FAB-4BA4-8E8F-A06D8C2D5AB6}"/>
    <cellStyle name="40% - Accent6 2 3 2 2 3" xfId="11380" xr:uid="{A79CA32D-463F-40E4-A16F-7BB6757CB2CA}"/>
    <cellStyle name="40% - Accent6 2 3 2 3" xfId="5011" xr:uid="{00000000-0005-0000-0000-00000F070000}"/>
    <cellStyle name="40% - Accent6 2 3 2 3 2" xfId="13453" xr:uid="{EE162E15-DC79-43D9-8D22-82D74A9A6D9B}"/>
    <cellStyle name="40% - Accent6 2 3 2 4" xfId="9235" xr:uid="{0EFE2F50-5428-4A7B-A6B8-2A6774C6C7EC}"/>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48228483-1BE1-4E9D-9793-92F8413E08C9}"/>
    <cellStyle name="40% - Accent6 2 3 3 2 3" xfId="11793" xr:uid="{55A250E2-BABC-4E27-BA4F-AAD53EF0F542}"/>
    <cellStyle name="40% - Accent6 2 3 3 3" xfId="5424" xr:uid="{00000000-0005-0000-0000-000013070000}"/>
    <cellStyle name="40% - Accent6 2 3 3 3 2" xfId="13866" xr:uid="{2D612A28-E093-4D78-BADD-7DA95DAD941C}"/>
    <cellStyle name="40% - Accent6 2 3 3 4" xfId="9648" xr:uid="{7AD5E216-F01E-42B4-964F-99CA9854BE93}"/>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491A87E0-6D4F-4B0C-8D26-A5D46FB8E4D8}"/>
    <cellStyle name="40% - Accent6 2 3 4 2 3" xfId="12206" xr:uid="{E60E8A9C-533C-4E3B-8DFE-0DA4B8DBE5A8}"/>
    <cellStyle name="40% - Accent6 2 3 4 3" xfId="5837" xr:uid="{00000000-0005-0000-0000-000017070000}"/>
    <cellStyle name="40% - Accent6 2 3 4 3 2" xfId="14279" xr:uid="{3CE7EE5F-EF38-4403-9B24-FC84EEBC212E}"/>
    <cellStyle name="40% - Accent6 2 3 4 4" xfId="10061" xr:uid="{33555AF7-11B0-4920-A7F0-3584F6097C88}"/>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FD81F829-BE0B-4204-B5F8-6F90531B191D}"/>
    <cellStyle name="40% - Accent6 2 3 5 2 3" xfId="12619" xr:uid="{6CD9D214-D3AC-46CE-9118-D525A449D238}"/>
    <cellStyle name="40% - Accent6 2 3 5 3" xfId="6250" xr:uid="{00000000-0005-0000-0000-00001B070000}"/>
    <cellStyle name="40% - Accent6 2 3 5 3 2" xfId="14692" xr:uid="{C061AF46-A421-4B81-8AC9-4BD8354554BE}"/>
    <cellStyle name="40% - Accent6 2 3 5 4" xfId="10474" xr:uid="{E7CDE880-D346-45E5-A11A-0BACB92BC4BA}"/>
    <cellStyle name="40% - Accent6 2 3 6" xfId="2356" xr:uid="{00000000-0005-0000-0000-00001C070000}"/>
    <cellStyle name="40% - Accent6 2 3 6 2" xfId="6663" xr:uid="{00000000-0005-0000-0000-00001D070000}"/>
    <cellStyle name="40% - Accent6 2 3 6 2 2" xfId="15105" xr:uid="{385C989F-4E2E-405A-A2FF-C427633E01C5}"/>
    <cellStyle name="40% - Accent6 2 3 6 3" xfId="10887" xr:uid="{AD2D53C0-7D20-46FE-B805-8C9BD865433C}"/>
    <cellStyle name="40% - Accent6 2 3 7" xfId="4597" xr:uid="{00000000-0005-0000-0000-00001E070000}"/>
    <cellStyle name="40% - Accent6 2 3 7 2" xfId="13039" xr:uid="{9F82E210-5DCA-40F8-8A2F-745FDDE93A48}"/>
    <cellStyle name="40% - Accent6 2 3 8" xfId="8821" xr:uid="{CE5F1B5B-1931-4668-8575-1BA3B56C1161}"/>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7886DB22-F92F-4F46-9BD0-973593470C59}"/>
    <cellStyle name="40% - Accent6 2 4 2 3" xfId="11377" xr:uid="{65B18A03-B8B9-4E81-808D-5FE7D3DD6869}"/>
    <cellStyle name="40% - Accent6 2 4 3" xfId="5008" xr:uid="{00000000-0005-0000-0000-000022070000}"/>
    <cellStyle name="40% - Accent6 2 4 3 2" xfId="13450" xr:uid="{A172EE55-4CB6-45AB-BEFB-3E7A9CD58803}"/>
    <cellStyle name="40% - Accent6 2 4 4" xfId="9232" xr:uid="{AF8E9E1D-7BA4-43CB-A2FE-29D54104C4AD}"/>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D8BADFAB-8633-455E-A6D3-24829BE9E166}"/>
    <cellStyle name="40% - Accent6 2 5 2 3" xfId="11790" xr:uid="{5B651B07-857B-4F32-B67B-F815A021455B}"/>
    <cellStyle name="40% - Accent6 2 5 3" xfId="5421" xr:uid="{00000000-0005-0000-0000-000026070000}"/>
    <cellStyle name="40% - Accent6 2 5 3 2" xfId="13863" xr:uid="{041CFAC6-0FBE-4002-B63C-F701E74AE503}"/>
    <cellStyle name="40% - Accent6 2 5 4" xfId="9645" xr:uid="{943DA3D1-2A14-4FAA-8E2E-DA9E643432F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4D43220E-8A30-4FDE-9289-8B8E376015BD}"/>
    <cellStyle name="40% - Accent6 2 6 2 3" xfId="12203" xr:uid="{47781207-D950-4EAA-BA9B-8D9970FF2F88}"/>
    <cellStyle name="40% - Accent6 2 6 3" xfId="5834" xr:uid="{00000000-0005-0000-0000-00002A070000}"/>
    <cellStyle name="40% - Accent6 2 6 3 2" xfId="14276" xr:uid="{AB1DBD03-0A65-40CD-84FF-1F76DEF7E452}"/>
    <cellStyle name="40% - Accent6 2 6 4" xfId="10058" xr:uid="{65182F2B-C7A1-4A0F-B35E-8AFCC6B8B428}"/>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74035E28-D696-41EF-B8BE-4669B6210428}"/>
    <cellStyle name="40% - Accent6 2 7 2 3" xfId="12616" xr:uid="{383AED29-A443-4C4F-83AF-2180A4B7C0DE}"/>
    <cellStyle name="40% - Accent6 2 7 3" xfId="6247" xr:uid="{00000000-0005-0000-0000-00002E070000}"/>
    <cellStyle name="40% - Accent6 2 7 3 2" xfId="14689" xr:uid="{A59FC203-309C-451D-B3E6-2557358B0723}"/>
    <cellStyle name="40% - Accent6 2 7 4" xfId="10471" xr:uid="{D4543A49-8D43-49BB-928B-4437FF781B98}"/>
    <cellStyle name="40% - Accent6 2 8" xfId="2353" xr:uid="{00000000-0005-0000-0000-00002F070000}"/>
    <cellStyle name="40% - Accent6 2 8 2" xfId="6660" xr:uid="{00000000-0005-0000-0000-000030070000}"/>
    <cellStyle name="40% - Accent6 2 8 2 2" xfId="15102" xr:uid="{7F67D46B-92C3-449F-A8C9-28DE679CB6BC}"/>
    <cellStyle name="40% - Accent6 2 8 3" xfId="10884" xr:uid="{4C590851-799C-460F-BE1D-B9B7D5453649}"/>
    <cellStyle name="40% - Accent6 2 9" xfId="4594" xr:uid="{00000000-0005-0000-0000-000031070000}"/>
    <cellStyle name="40% - Accent6 2 9 2" xfId="13036" xr:uid="{FD5692BF-F4E4-4FD6-8EFB-2889FE4B8694}"/>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A1A0FE85-094C-42D8-8A90-9376EB16E1D8}"/>
    <cellStyle name="40% - Accent6 3 2 2 2 3" xfId="11382" xr:uid="{FC3BAA8A-AA0A-4C85-8C90-D4BC179B43E2}"/>
    <cellStyle name="40% - Accent6 3 2 2 3" xfId="5013" xr:uid="{00000000-0005-0000-0000-000037070000}"/>
    <cellStyle name="40% - Accent6 3 2 2 3 2" xfId="13455" xr:uid="{6B48933F-A264-41BB-906C-A13871BC641E}"/>
    <cellStyle name="40% - Accent6 3 2 2 4" xfId="9237" xr:uid="{6EF6E59B-419B-4541-AE3B-564A8C9AC6E9}"/>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69F2A6A1-C13E-44A0-A312-E5FF7410220E}"/>
    <cellStyle name="40% - Accent6 3 2 3 2 3" xfId="11795" xr:uid="{9698D596-48A5-4FF9-A283-981F4335888C}"/>
    <cellStyle name="40% - Accent6 3 2 3 3" xfId="5426" xr:uid="{00000000-0005-0000-0000-00003B070000}"/>
    <cellStyle name="40% - Accent6 3 2 3 3 2" xfId="13868" xr:uid="{9AE8B2F5-85FD-47FC-BBA0-A728FF38E50C}"/>
    <cellStyle name="40% - Accent6 3 2 3 4" xfId="9650" xr:uid="{B8EC8BB9-A5AF-4EBA-BEC7-ED4486D88F64}"/>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D60E8590-7011-4558-A804-B34FDE0BA711}"/>
    <cellStyle name="40% - Accent6 3 2 4 2 3" xfId="12208" xr:uid="{76BF9F31-50E2-4D3C-BA07-9AC2BC0288DC}"/>
    <cellStyle name="40% - Accent6 3 2 4 3" xfId="5839" xr:uid="{00000000-0005-0000-0000-00003F070000}"/>
    <cellStyle name="40% - Accent6 3 2 4 3 2" xfId="14281" xr:uid="{3C9D6B3A-A6F8-4F9F-A942-AE5FCCA218D0}"/>
    <cellStyle name="40% - Accent6 3 2 4 4" xfId="10063" xr:uid="{AFF8D3E8-6F7E-4B17-85D3-418A69B4735A}"/>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96D442DA-FC2C-496E-B40B-223781D2A2F8}"/>
    <cellStyle name="40% - Accent6 3 2 5 2 3" xfId="12621" xr:uid="{269190C7-6A3B-4FF0-B0FD-98F2361054FA}"/>
    <cellStyle name="40% - Accent6 3 2 5 3" xfId="6252" xr:uid="{00000000-0005-0000-0000-000043070000}"/>
    <cellStyle name="40% - Accent6 3 2 5 3 2" xfId="14694" xr:uid="{6E82810E-F749-4E4A-8782-0C266AEF0CA8}"/>
    <cellStyle name="40% - Accent6 3 2 5 4" xfId="10476" xr:uid="{3D8D7412-5FEB-44E3-A621-5EA302B1480B}"/>
    <cellStyle name="40% - Accent6 3 2 6" xfId="2358" xr:uid="{00000000-0005-0000-0000-000044070000}"/>
    <cellStyle name="40% - Accent6 3 2 6 2" xfId="6665" xr:uid="{00000000-0005-0000-0000-000045070000}"/>
    <cellStyle name="40% - Accent6 3 2 6 2 2" xfId="15107" xr:uid="{3BCAA786-5D6C-4E77-966A-9DDD2956D61B}"/>
    <cellStyle name="40% - Accent6 3 2 6 3" xfId="10889" xr:uid="{5B39F442-3B0B-4B27-ADD2-D477DA33C02C}"/>
    <cellStyle name="40% - Accent6 3 2 7" xfId="4599" xr:uid="{00000000-0005-0000-0000-000046070000}"/>
    <cellStyle name="40% - Accent6 3 2 7 2" xfId="13041" xr:uid="{4E4501FF-E4F5-4D47-8437-3B2F8CE8C809}"/>
    <cellStyle name="40% - Accent6 3 2 8" xfId="8823" xr:uid="{17E70789-5B85-4C36-B8DC-B1F3DF82369A}"/>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253A59FE-14B8-4D86-BC16-C90AA8EF0DBD}"/>
    <cellStyle name="40% - Accent6 3 3 2 3" xfId="11381" xr:uid="{4F1A3EE7-2429-4B8D-A521-3A0814D1B9BE}"/>
    <cellStyle name="40% - Accent6 3 3 3" xfId="5012" xr:uid="{00000000-0005-0000-0000-00004A070000}"/>
    <cellStyle name="40% - Accent6 3 3 3 2" xfId="13454" xr:uid="{1F32BE97-4285-4F5F-B6C2-C7E364A2A543}"/>
    <cellStyle name="40% - Accent6 3 3 4" xfId="9236" xr:uid="{A75BC94F-A9F4-44ED-856E-90BC466D5628}"/>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74A66679-F749-4276-A7E9-FED2272F029E}"/>
    <cellStyle name="40% - Accent6 3 4 2 3" xfId="11794" xr:uid="{0124EDB8-83AC-4074-92F3-37DB54660550}"/>
    <cellStyle name="40% - Accent6 3 4 3" xfId="5425" xr:uid="{00000000-0005-0000-0000-00004E070000}"/>
    <cellStyle name="40% - Accent6 3 4 3 2" xfId="13867" xr:uid="{BBDFD447-DEF5-46E5-B901-4C454E87B9B8}"/>
    <cellStyle name="40% - Accent6 3 4 4" xfId="9649" xr:uid="{1765D1F4-3217-4428-9F7A-4B344FA3276D}"/>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BC84E796-0896-4B6A-8D40-53F4A8A1A730}"/>
    <cellStyle name="40% - Accent6 3 5 2 3" xfId="12207" xr:uid="{1E403D5A-2B36-4A54-84F5-0732EE3AC1CD}"/>
    <cellStyle name="40% - Accent6 3 5 3" xfId="5838" xr:uid="{00000000-0005-0000-0000-000052070000}"/>
    <cellStyle name="40% - Accent6 3 5 3 2" xfId="14280" xr:uid="{B9C6F1AD-2466-41D9-B048-C11AC85E9B68}"/>
    <cellStyle name="40% - Accent6 3 5 4" xfId="10062" xr:uid="{755E12CC-31D9-4533-8BE5-001C68D983A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40DBE60D-8AFF-40D1-B927-864DBF71B543}"/>
    <cellStyle name="40% - Accent6 3 6 2 3" xfId="12620" xr:uid="{8E33F7C8-669D-48C9-84A4-A41F05D17CD2}"/>
    <cellStyle name="40% - Accent6 3 6 3" xfId="6251" xr:uid="{00000000-0005-0000-0000-000056070000}"/>
    <cellStyle name="40% - Accent6 3 6 3 2" xfId="14693" xr:uid="{111B208C-FA96-4B95-94FC-AC0522940DA2}"/>
    <cellStyle name="40% - Accent6 3 6 4" xfId="10475" xr:uid="{3DFD8684-A0B9-4BD3-BCE6-C2DAB4589B1E}"/>
    <cellStyle name="40% - Accent6 3 7" xfId="2357" xr:uid="{00000000-0005-0000-0000-000057070000}"/>
    <cellStyle name="40% - Accent6 3 7 2" xfId="6664" xr:uid="{00000000-0005-0000-0000-000058070000}"/>
    <cellStyle name="40% - Accent6 3 7 2 2" xfId="15106" xr:uid="{8C1E502D-F2EC-49E1-97B1-6B26B5C95599}"/>
    <cellStyle name="40% - Accent6 3 7 3" xfId="10888" xr:uid="{EDD950CE-BE41-4716-B6CC-546D7668390C}"/>
    <cellStyle name="40% - Accent6 3 8" xfId="4598" xr:uid="{00000000-0005-0000-0000-000059070000}"/>
    <cellStyle name="40% - Accent6 3 8 2" xfId="13040" xr:uid="{A4F0AE2D-3E10-4115-AFD4-6475128EC5F0}"/>
    <cellStyle name="40% - Accent6 3 9" xfId="8822" xr:uid="{66F22534-5FDA-426A-894A-F1CAC0A6AFE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13822B18-E74A-471E-85B3-8E3D3500F914}"/>
    <cellStyle name="40% - Accent6 4 2 2 3" xfId="11383" xr:uid="{6BA52210-5309-4139-A09B-057BE09619DB}"/>
    <cellStyle name="40% - Accent6 4 2 3" xfId="5014" xr:uid="{00000000-0005-0000-0000-00005E070000}"/>
    <cellStyle name="40% - Accent6 4 2 3 2" xfId="13456" xr:uid="{58106F27-3708-4B34-96E8-E3E31A9935B3}"/>
    <cellStyle name="40% - Accent6 4 2 4" xfId="9238" xr:uid="{100FFA91-B213-47DC-BC60-159901BE9A7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054441D1-EC9D-4C41-989B-910F5B6505FB}"/>
    <cellStyle name="40% - Accent6 4 3 2 3" xfId="11796" xr:uid="{695DC5F6-A1B5-4F96-A32F-F4B75D29CEAA}"/>
    <cellStyle name="40% - Accent6 4 3 3" xfId="5427" xr:uid="{00000000-0005-0000-0000-000062070000}"/>
    <cellStyle name="40% - Accent6 4 3 3 2" xfId="13869" xr:uid="{1F3BEFF7-240C-474E-BA5F-48980040E868}"/>
    <cellStyle name="40% - Accent6 4 3 4" xfId="9651" xr:uid="{9F7168F5-DFC5-4D87-8E97-C64DBEB7101E}"/>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A905708A-3519-4D46-9FFE-05D1E3BDC603}"/>
    <cellStyle name="40% - Accent6 4 4 2 3" xfId="12209" xr:uid="{DC221BED-05BD-4B11-9C8B-C4CFD4ED748A}"/>
    <cellStyle name="40% - Accent6 4 4 3" xfId="5840" xr:uid="{00000000-0005-0000-0000-000066070000}"/>
    <cellStyle name="40% - Accent6 4 4 3 2" xfId="14282" xr:uid="{D4440C5B-1765-42FE-ADDC-F661ECDFF6D1}"/>
    <cellStyle name="40% - Accent6 4 4 4" xfId="10064" xr:uid="{E5C3E6E9-0EEF-443E-9C29-2133099D107A}"/>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974956CC-A8B7-4268-920E-DB1EF05F64CE}"/>
    <cellStyle name="40% - Accent6 4 5 2 3" xfId="12622" xr:uid="{03362339-B08D-49B3-8E03-A2756D3F58CA}"/>
    <cellStyle name="40% - Accent6 4 5 3" xfId="6253" xr:uid="{00000000-0005-0000-0000-00006A070000}"/>
    <cellStyle name="40% - Accent6 4 5 3 2" xfId="14695" xr:uid="{E49E3601-5A3B-4159-933B-8C6627490298}"/>
    <cellStyle name="40% - Accent6 4 5 4" xfId="10477" xr:uid="{8EFE49C4-ABF3-4238-818D-09847CA5115E}"/>
    <cellStyle name="40% - Accent6 4 6" xfId="2359" xr:uid="{00000000-0005-0000-0000-00006B070000}"/>
    <cellStyle name="40% - Accent6 4 6 2" xfId="6666" xr:uid="{00000000-0005-0000-0000-00006C070000}"/>
    <cellStyle name="40% - Accent6 4 6 2 2" xfId="15108" xr:uid="{2A9E3D31-AC76-430C-BA07-E95D56FCD6EF}"/>
    <cellStyle name="40% - Accent6 4 6 3" xfId="10890" xr:uid="{31630C31-DF29-4EC0-88C1-476184B46878}"/>
    <cellStyle name="40% - Accent6 4 7" xfId="4600" xr:uid="{00000000-0005-0000-0000-00006D070000}"/>
    <cellStyle name="40% - Accent6 4 7 2" xfId="13042" xr:uid="{C8634F4D-6E16-40A0-A6D2-5163BDF901EF}"/>
    <cellStyle name="40% - Accent6 4 8" xfId="8824" xr:uid="{F1C24AF6-CCAA-46CA-A3E5-614103FC2B67}"/>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9046C1CC-FC1D-4F80-AAA1-1ED9BFE8612B}"/>
    <cellStyle name="40% - Accent6 5 2 3" xfId="11376" xr:uid="{4AC2864F-5138-41C0-89D6-7FDF84170BA1}"/>
    <cellStyle name="40% - Accent6 5 3" xfId="5007" xr:uid="{00000000-0005-0000-0000-000071070000}"/>
    <cellStyle name="40% - Accent6 5 3 2" xfId="13449" xr:uid="{245D3AD6-CAF8-449C-8C42-4A2A3952CDE3}"/>
    <cellStyle name="40% - Accent6 5 4" xfId="9231" xr:uid="{A0F8EDDE-4968-4BD6-A64B-C55BEDCA7BA4}"/>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E8CFB02A-8467-45E5-89DD-9C01AA7F4124}"/>
    <cellStyle name="40% - Accent6 6 2 3" xfId="11789" xr:uid="{874B8B0F-14B8-40E6-8756-4D3692D21486}"/>
    <cellStyle name="40% - Accent6 6 3" xfId="5420" xr:uid="{00000000-0005-0000-0000-000075070000}"/>
    <cellStyle name="40% - Accent6 6 3 2" xfId="13862" xr:uid="{D2DE1FAE-4593-4B79-B868-D992214BA739}"/>
    <cellStyle name="40% - Accent6 6 4" xfId="9644" xr:uid="{79166676-5714-4320-BC76-B3F6265BB01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2D54F457-9374-435A-8F39-684AB6BB11AA}"/>
    <cellStyle name="40% - Accent6 7 2 3" xfId="12202" xr:uid="{91118B07-AB1C-4150-BD62-ECB2A141D9AA}"/>
    <cellStyle name="40% - Accent6 7 3" xfId="5833" xr:uid="{00000000-0005-0000-0000-000079070000}"/>
    <cellStyle name="40% - Accent6 7 3 2" xfId="14275" xr:uid="{A5EACC41-269A-4758-BD38-D91519D6EF43}"/>
    <cellStyle name="40% - Accent6 7 4" xfId="10057" xr:uid="{604EB45F-5995-41EE-A820-8416E581FC63}"/>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E5BB6BEE-C3D3-4E72-8053-154470FCA9FB}"/>
    <cellStyle name="40% - Accent6 8 2 3" xfId="12615" xr:uid="{8ED6655C-A04B-4FE5-856D-F8DCFB4E9605}"/>
    <cellStyle name="40% - Accent6 8 3" xfId="6246" xr:uid="{00000000-0005-0000-0000-00007D070000}"/>
    <cellStyle name="40% - Accent6 8 3 2" xfId="14688" xr:uid="{E5B448D9-C79A-4296-B211-54D56925BF0A}"/>
    <cellStyle name="40% - Accent6 8 4" xfId="10470" xr:uid="{F427A0C6-C4A3-4A5C-8FDA-547417A586AF}"/>
    <cellStyle name="40% - Accent6 9" xfId="2352" xr:uid="{00000000-0005-0000-0000-00007E070000}"/>
    <cellStyle name="40% - Accent6 9 2" xfId="6659" xr:uid="{00000000-0005-0000-0000-00007F070000}"/>
    <cellStyle name="40% - Accent6 9 2 2" xfId="15101" xr:uid="{5F31B89F-B38F-465B-9E62-5F057151B88F}"/>
    <cellStyle name="40% - Accent6 9 3" xfId="10883" xr:uid="{F2740847-DE5C-4B61-88D3-A6EDB89B65D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38238326-4142-47C7-99D5-B6F61C6C9DE7}"/>
    <cellStyle name="Comma 4 2 2 2 10 3" xfId="11208" xr:uid="{8E8DCC6F-982F-4D18-BAF9-C68440866FAB}"/>
    <cellStyle name="Comma 4 2 2 2 11" xfId="4601" xr:uid="{00000000-0005-0000-0000-0000A3070000}"/>
    <cellStyle name="Comma 4 2 2 2 11 2" xfId="13043" xr:uid="{2F764529-BEA8-43A2-BBDC-306DD498A74F}"/>
    <cellStyle name="Comma 4 2 2 2 12" xfId="8825" xr:uid="{9DA479EC-1C1D-4597-9A11-E4D371EE757F}"/>
    <cellStyle name="Comma 4 2 2 2 2" xfId="129" xr:uid="{00000000-0005-0000-0000-0000A4070000}"/>
    <cellStyle name="Comma 4 2 2 2 2 10" xfId="4602" xr:uid="{00000000-0005-0000-0000-0000A5070000}"/>
    <cellStyle name="Comma 4 2 2 2 2 10 2" xfId="13044" xr:uid="{32961C2B-5E26-4D2B-9CFC-F99CB26BB8B2}"/>
    <cellStyle name="Comma 4 2 2 2 2 11" xfId="8826" xr:uid="{DE24852D-D763-46D3-982D-7C2C45826BAC}"/>
    <cellStyle name="Comma 4 2 2 2 2 2" xfId="130" xr:uid="{00000000-0005-0000-0000-0000A6070000}"/>
    <cellStyle name="Comma 4 2 2 2 2 2 10" xfId="8827" xr:uid="{F7A81AAB-C283-4E65-8781-3D7FE830A3C7}"/>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C4930DB1-4CBB-4F98-A4E0-121BB668B2FF}"/>
    <cellStyle name="Comma 4 2 2 2 2 2 2 2 3" xfId="11386" xr:uid="{7B341E6F-A982-499D-A7EE-295E604D0807}"/>
    <cellStyle name="Comma 4 2 2 2 2 2 2 3" xfId="5017" xr:uid="{00000000-0005-0000-0000-0000AA070000}"/>
    <cellStyle name="Comma 4 2 2 2 2 2 2 3 2" xfId="13459" xr:uid="{B455D24C-4B49-4EA6-BD4D-CC4C44C36C66}"/>
    <cellStyle name="Comma 4 2 2 2 2 2 2 4" xfId="9241" xr:uid="{024E2B39-B4ED-4897-9C63-C07D5A34305C}"/>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927975AE-B7A0-432E-8B94-3B38C2356BFC}"/>
    <cellStyle name="Comma 4 2 2 2 2 2 3 2 3" xfId="11799" xr:uid="{524F75B7-FDA8-47DA-AEF1-C86EEF38635F}"/>
    <cellStyle name="Comma 4 2 2 2 2 2 3 3" xfId="5430" xr:uid="{00000000-0005-0000-0000-0000AE070000}"/>
    <cellStyle name="Comma 4 2 2 2 2 2 3 3 2" xfId="13872" xr:uid="{488F9118-BFDE-47DC-AA36-7D62F01F8667}"/>
    <cellStyle name="Comma 4 2 2 2 2 2 3 4" xfId="9654" xr:uid="{9961BF42-BA74-443D-810B-FDF56CC96D1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850114E2-21F7-4018-A18A-9DD607B874B9}"/>
    <cellStyle name="Comma 4 2 2 2 2 2 4 2 3" xfId="12212" xr:uid="{D046AA16-D442-45E8-9E5B-9364DF1C050D}"/>
    <cellStyle name="Comma 4 2 2 2 2 2 4 3" xfId="5843" xr:uid="{00000000-0005-0000-0000-0000B2070000}"/>
    <cellStyle name="Comma 4 2 2 2 2 2 4 3 2" xfId="14285" xr:uid="{759E3F66-F351-43DA-8E76-270281C68A10}"/>
    <cellStyle name="Comma 4 2 2 2 2 2 4 4" xfId="10067" xr:uid="{86324EE0-4780-460D-B371-30D7067841F8}"/>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1A6CFF2E-005C-4B1F-A593-9D1777D0F892}"/>
    <cellStyle name="Comma 4 2 2 2 2 2 5 2 3" xfId="12625" xr:uid="{5E4B31EC-E589-4113-A2D8-646E4EE38536}"/>
    <cellStyle name="Comma 4 2 2 2 2 2 5 3" xfId="6256" xr:uid="{00000000-0005-0000-0000-0000B6070000}"/>
    <cellStyle name="Comma 4 2 2 2 2 2 5 3 2" xfId="14698" xr:uid="{07899D1E-6778-43FD-979A-53FE1F99B8E2}"/>
    <cellStyle name="Comma 4 2 2 2 2 2 5 4" xfId="10480" xr:uid="{6F1C45A3-EF1D-4861-9DAC-A6A8DCD8633D}"/>
    <cellStyle name="Comma 4 2 2 2 2 2 6" xfId="2384" xr:uid="{00000000-0005-0000-0000-0000B7070000}"/>
    <cellStyle name="Comma 4 2 2 2 2 2 6 2" xfId="6669" xr:uid="{00000000-0005-0000-0000-0000B8070000}"/>
    <cellStyle name="Comma 4 2 2 2 2 2 6 2 2" xfId="15111" xr:uid="{7C123714-BC46-4EBD-8AEF-F41FA586C680}"/>
    <cellStyle name="Comma 4 2 2 2 2 2 6 3" xfId="10893" xr:uid="{A94E9FBD-5168-46AC-9B76-0CB37BBC8A1B}"/>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E3158DC4-F96B-433F-B3F4-A293C7E7AE24}"/>
    <cellStyle name="Comma 4 2 2 2 2 2 8 3" xfId="11210" xr:uid="{F82E626A-9684-43C1-88CA-E678064F580A}"/>
    <cellStyle name="Comma 4 2 2 2 2 2 9" xfId="4603" xr:uid="{00000000-0005-0000-0000-0000BC070000}"/>
    <cellStyle name="Comma 4 2 2 2 2 2 9 2" xfId="13045" xr:uid="{4C3DEB15-6F85-4AA5-80A1-FB0E3752FF1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01FCA6A6-9743-4C64-9FBF-D7A2BED79D31}"/>
    <cellStyle name="Comma 4 2 2 2 2 3 2 3" xfId="11385" xr:uid="{A468C62D-3E19-4518-9720-D4233D71B7ED}"/>
    <cellStyle name="Comma 4 2 2 2 2 3 3" xfId="5016" xr:uid="{00000000-0005-0000-0000-0000C0070000}"/>
    <cellStyle name="Comma 4 2 2 2 2 3 3 2" xfId="13458" xr:uid="{2B3FBDE4-D9A5-45D7-A5E1-14C3B9D4552A}"/>
    <cellStyle name="Comma 4 2 2 2 2 3 4" xfId="9240" xr:uid="{D86CEC26-E5D0-46F3-B877-E8661A188188}"/>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05DD1BA7-E377-4C92-9685-EB9F42F99A2D}"/>
    <cellStyle name="Comma 4 2 2 2 2 4 2 3" xfId="11798" xr:uid="{2D749604-FF94-4CED-8BA8-26D646FCA27D}"/>
    <cellStyle name="Comma 4 2 2 2 2 4 3" xfId="5429" xr:uid="{00000000-0005-0000-0000-0000C4070000}"/>
    <cellStyle name="Comma 4 2 2 2 2 4 3 2" xfId="13871" xr:uid="{03EF9EC7-985B-4BEB-A3A9-E748428C0444}"/>
    <cellStyle name="Comma 4 2 2 2 2 4 4" xfId="9653" xr:uid="{EEF36C0D-87B5-4C98-B311-46953980B6C5}"/>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08A4BE62-0059-4ABF-BC52-C5571CCB8B6F}"/>
    <cellStyle name="Comma 4 2 2 2 2 5 2 3" xfId="12211" xr:uid="{7CC65EF9-CE3D-4188-AF89-3838EF1D7CA4}"/>
    <cellStyle name="Comma 4 2 2 2 2 5 3" xfId="5842" xr:uid="{00000000-0005-0000-0000-0000C8070000}"/>
    <cellStyle name="Comma 4 2 2 2 2 5 3 2" xfId="14284" xr:uid="{B79C853D-1A15-4303-B792-FF2D54BE6F8B}"/>
    <cellStyle name="Comma 4 2 2 2 2 5 4" xfId="10066" xr:uid="{96E5F5B1-F99C-40B4-98CD-629F39117A94}"/>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590D2C46-29C3-49E7-A0BD-F86D9A6A9147}"/>
    <cellStyle name="Comma 4 2 2 2 2 6 2 3" xfId="12624" xr:uid="{A8824354-15B1-42B9-AB77-5BD20A245A71}"/>
    <cellStyle name="Comma 4 2 2 2 2 6 3" xfId="6255" xr:uid="{00000000-0005-0000-0000-0000CC070000}"/>
    <cellStyle name="Comma 4 2 2 2 2 6 3 2" xfId="14697" xr:uid="{5D2D3636-CB38-4BE1-9EA0-F3B2F08DDEE4}"/>
    <cellStyle name="Comma 4 2 2 2 2 6 4" xfId="10479" xr:uid="{F10F1DFA-D9E0-439F-88B4-C11909F0223E}"/>
    <cellStyle name="Comma 4 2 2 2 2 7" xfId="2383" xr:uid="{00000000-0005-0000-0000-0000CD070000}"/>
    <cellStyle name="Comma 4 2 2 2 2 7 2" xfId="6668" xr:uid="{00000000-0005-0000-0000-0000CE070000}"/>
    <cellStyle name="Comma 4 2 2 2 2 7 2 2" xfId="15110" xr:uid="{5FC4B3B0-2FAD-4DBF-A1E2-78E0D08A8252}"/>
    <cellStyle name="Comma 4 2 2 2 2 7 3" xfId="10892" xr:uid="{EE199255-3C19-49A3-89A5-6F9201F5594E}"/>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1EA90447-F9C3-4DFB-BDAA-507A5200BCE4}"/>
    <cellStyle name="Comma 4 2 2 2 2 9 3" xfId="11209" xr:uid="{8728C734-EF6E-4B09-BFAB-B698FAB62798}"/>
    <cellStyle name="Comma 4 2 2 2 3" xfId="131" xr:uid="{00000000-0005-0000-0000-0000D2070000}"/>
    <cellStyle name="Comma 4 2 2 2 3 10" xfId="8828" xr:uid="{4A1C4420-BF47-4FAD-B8AA-40016B9965F5}"/>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B52E46C-FF45-4C43-88C2-F55552086D88}"/>
    <cellStyle name="Comma 4 2 2 2 3 2 2 3" xfId="11387" xr:uid="{08D4A1BE-659E-4810-9872-68A2D26664D4}"/>
    <cellStyle name="Comma 4 2 2 2 3 2 3" xfId="5018" xr:uid="{00000000-0005-0000-0000-0000D6070000}"/>
    <cellStyle name="Comma 4 2 2 2 3 2 3 2" xfId="13460" xr:uid="{84258059-1299-4F14-B595-16628CAD9FAC}"/>
    <cellStyle name="Comma 4 2 2 2 3 2 4" xfId="9242" xr:uid="{95626F0E-E2D5-4308-82D7-343113B0FDF5}"/>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64E7B226-C4A7-4BBF-89F5-99ACE7B54C82}"/>
    <cellStyle name="Comma 4 2 2 2 3 3 2 3" xfId="11800" xr:uid="{C445D87D-3180-4EA7-8317-1AFC6F874CB5}"/>
    <cellStyle name="Comma 4 2 2 2 3 3 3" xfId="5431" xr:uid="{00000000-0005-0000-0000-0000DA070000}"/>
    <cellStyle name="Comma 4 2 2 2 3 3 3 2" xfId="13873" xr:uid="{1EC827C6-43C9-461B-94CA-2BD0E261AC7A}"/>
    <cellStyle name="Comma 4 2 2 2 3 3 4" xfId="9655" xr:uid="{FCABC058-1125-4C4A-A55E-54CFE840FE7C}"/>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9809588F-838D-4C96-8889-D3D489785648}"/>
    <cellStyle name="Comma 4 2 2 2 3 4 2 3" xfId="12213" xr:uid="{77AEEB64-3A7E-4A9D-9BB8-1FAD343FF47F}"/>
    <cellStyle name="Comma 4 2 2 2 3 4 3" xfId="5844" xr:uid="{00000000-0005-0000-0000-0000DE070000}"/>
    <cellStyle name="Comma 4 2 2 2 3 4 3 2" xfId="14286" xr:uid="{3C139C8D-10A1-4D3D-B5C0-A65822A81651}"/>
    <cellStyle name="Comma 4 2 2 2 3 4 4" xfId="10068" xr:uid="{744A0D6D-1991-4B78-B9A8-D17D474E3A0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69501FD3-97EA-443F-AD23-BB3D9A22BCA1}"/>
    <cellStyle name="Comma 4 2 2 2 3 5 2 3" xfId="12626" xr:uid="{567D0133-FEE2-4525-8B88-A5DF0FDE83EE}"/>
    <cellStyle name="Comma 4 2 2 2 3 5 3" xfId="6257" xr:uid="{00000000-0005-0000-0000-0000E2070000}"/>
    <cellStyle name="Comma 4 2 2 2 3 5 3 2" xfId="14699" xr:uid="{41889671-5128-48FB-B4CA-5C8CF5E2453B}"/>
    <cellStyle name="Comma 4 2 2 2 3 5 4" xfId="10481" xr:uid="{5EC34986-E67C-47A0-A449-A38B1670E89C}"/>
    <cellStyle name="Comma 4 2 2 2 3 6" xfId="2385" xr:uid="{00000000-0005-0000-0000-0000E3070000}"/>
    <cellStyle name="Comma 4 2 2 2 3 6 2" xfId="6670" xr:uid="{00000000-0005-0000-0000-0000E4070000}"/>
    <cellStyle name="Comma 4 2 2 2 3 6 2 2" xfId="15112" xr:uid="{490489CE-76E5-4D1E-81D0-02D14AC2A97B}"/>
    <cellStyle name="Comma 4 2 2 2 3 6 3" xfId="10894" xr:uid="{2D319900-F7B4-4A88-A177-4C00D7B70C1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842F095A-03F8-4A58-BA1D-65CFDE2F0A69}"/>
    <cellStyle name="Comma 4 2 2 2 3 8 3" xfId="11211" xr:uid="{553BA4EC-72B0-475D-A6AA-5AA78F774750}"/>
    <cellStyle name="Comma 4 2 2 2 3 9" xfId="4604" xr:uid="{00000000-0005-0000-0000-0000E8070000}"/>
    <cellStyle name="Comma 4 2 2 2 3 9 2" xfId="13046" xr:uid="{6A462C46-9F46-4B2B-A375-E96186CC070B}"/>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4088E9E7-F02D-4EB4-A139-2D393F3AE564}"/>
    <cellStyle name="Comma 4 2 2 2 4 2 3" xfId="11384" xr:uid="{8586D545-C184-4C5D-A779-EC2ED79E0F9A}"/>
    <cellStyle name="Comma 4 2 2 2 4 3" xfId="5015" xr:uid="{00000000-0005-0000-0000-0000EC070000}"/>
    <cellStyle name="Comma 4 2 2 2 4 3 2" xfId="13457" xr:uid="{79E4E3A2-2813-425E-944D-EEF06150C5AF}"/>
    <cellStyle name="Comma 4 2 2 2 4 4" xfId="9239" xr:uid="{F6FB4D6E-5D80-400B-910C-13B905CD11F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0A474B22-0A79-4315-92BA-A58CD6C70E65}"/>
    <cellStyle name="Comma 4 2 2 2 5 2 3" xfId="11797" xr:uid="{C8BA6C23-2C37-4C12-A194-FB75C0A017B7}"/>
    <cellStyle name="Comma 4 2 2 2 5 3" xfId="5428" xr:uid="{00000000-0005-0000-0000-0000F0070000}"/>
    <cellStyle name="Comma 4 2 2 2 5 3 2" xfId="13870" xr:uid="{80B62501-4DA2-4912-B37D-5A033A11954B}"/>
    <cellStyle name="Comma 4 2 2 2 5 4" xfId="9652" xr:uid="{D21F41E2-FC04-436C-8214-0C987485BBF4}"/>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96853F5C-7435-460E-B7D9-5874461B74D2}"/>
    <cellStyle name="Comma 4 2 2 2 6 2 3" xfId="12210" xr:uid="{E183654A-F701-4E54-B961-BD9EF50F8521}"/>
    <cellStyle name="Comma 4 2 2 2 6 3" xfId="5841" xr:uid="{00000000-0005-0000-0000-0000F4070000}"/>
    <cellStyle name="Comma 4 2 2 2 6 3 2" xfId="14283" xr:uid="{E833001F-1756-4A9D-B651-CFC01B4757EC}"/>
    <cellStyle name="Comma 4 2 2 2 6 4" xfId="10065" xr:uid="{2E77E749-09BA-4013-BA57-68EB4BB23696}"/>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44A1C335-66D4-4D07-A1BF-E38282F5241D}"/>
    <cellStyle name="Comma 4 2 2 2 7 2 3" xfId="12623" xr:uid="{9A56A847-FE76-4E21-B242-DCF6F8DA60D9}"/>
    <cellStyle name="Comma 4 2 2 2 7 3" xfId="6254" xr:uid="{00000000-0005-0000-0000-0000F8070000}"/>
    <cellStyle name="Comma 4 2 2 2 7 3 2" xfId="14696" xr:uid="{96C68C58-6028-4D12-BE63-FB5A1FAC12C3}"/>
    <cellStyle name="Comma 4 2 2 2 7 4" xfId="10478" xr:uid="{FA96BD13-E118-48AD-AAA2-A91B0AFFCEE6}"/>
    <cellStyle name="Comma 4 2 2 2 8" xfId="2382" xr:uid="{00000000-0005-0000-0000-0000F9070000}"/>
    <cellStyle name="Comma 4 2 2 2 8 2" xfId="6667" xr:uid="{00000000-0005-0000-0000-0000FA070000}"/>
    <cellStyle name="Comma 4 2 2 2 8 2 2" xfId="15109" xr:uid="{D881ECB6-40A5-4E1E-80A6-A502843ED032}"/>
    <cellStyle name="Comma 4 2 2 2 8 3" xfId="10891" xr:uid="{90F004B7-6056-44D6-8637-E0DD7AFE1DC1}"/>
    <cellStyle name="Comma 4 2 2 2 9" xfId="2381" xr:uid="{00000000-0005-0000-0000-0000FB070000}"/>
    <cellStyle name="Comma 4 2 2 3" xfId="132" xr:uid="{00000000-0005-0000-0000-0000FC070000}"/>
    <cellStyle name="Comma 4 2 2 3 10" xfId="4605" xr:uid="{00000000-0005-0000-0000-0000FD070000}"/>
    <cellStyle name="Comma 4 2 2 3 10 2" xfId="13047" xr:uid="{DA78B187-D229-4CB2-AE16-8698ED0D24C9}"/>
    <cellStyle name="Comma 4 2 2 3 11" xfId="8829" xr:uid="{FC4BE28C-99BE-48D7-9C8D-879CCB5EE76C}"/>
    <cellStyle name="Comma 4 2 2 3 2" xfId="133" xr:uid="{00000000-0005-0000-0000-0000FE070000}"/>
    <cellStyle name="Comma 4 2 2 3 2 10" xfId="8830" xr:uid="{219E5BF6-8661-4EA9-81C1-31143F0F2E7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F6CB3E80-3A41-466A-B9C5-BAF8F7DABD63}"/>
    <cellStyle name="Comma 4 2 2 3 2 2 2 3" xfId="11389" xr:uid="{FF2870E9-751D-4F38-B72C-7DDCA3B9B75B}"/>
    <cellStyle name="Comma 4 2 2 3 2 2 3" xfId="5020" xr:uid="{00000000-0005-0000-0000-000002080000}"/>
    <cellStyle name="Comma 4 2 2 3 2 2 3 2" xfId="13462" xr:uid="{D621C1E0-D877-405D-8662-4AB937CA3E31}"/>
    <cellStyle name="Comma 4 2 2 3 2 2 4" xfId="9244" xr:uid="{47E23B98-E1D0-4AB1-BFB0-A3411C1B02E6}"/>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EA1FF5B6-6BCB-4065-8062-0751BBD8CD9F}"/>
    <cellStyle name="Comma 4 2 2 3 2 3 2 3" xfId="11802" xr:uid="{C4D3107A-EDA6-4080-A35D-A8BF5E07BC79}"/>
    <cellStyle name="Comma 4 2 2 3 2 3 3" xfId="5433" xr:uid="{00000000-0005-0000-0000-000006080000}"/>
    <cellStyle name="Comma 4 2 2 3 2 3 3 2" xfId="13875" xr:uid="{EE7760C8-22E9-4AB5-B8B4-C75E119087A2}"/>
    <cellStyle name="Comma 4 2 2 3 2 3 4" xfId="9657" xr:uid="{DAC3612C-B0B2-4DE9-9103-464A8C1DE3F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DA372DB9-BE84-46C0-81EB-6716B58B6682}"/>
    <cellStyle name="Comma 4 2 2 3 2 4 2 3" xfId="12215" xr:uid="{3DFE4683-A6C8-4D51-9C73-4DAFE95E097E}"/>
    <cellStyle name="Comma 4 2 2 3 2 4 3" xfId="5846" xr:uid="{00000000-0005-0000-0000-00000A080000}"/>
    <cellStyle name="Comma 4 2 2 3 2 4 3 2" xfId="14288" xr:uid="{5E845397-191D-4704-86E7-F1403F631D94}"/>
    <cellStyle name="Comma 4 2 2 3 2 4 4" xfId="10070" xr:uid="{6271E901-68C3-42C0-82C5-13D18ADB7832}"/>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B910FC41-AE3E-4C1C-83E8-8FEF6C07EF70}"/>
    <cellStyle name="Comma 4 2 2 3 2 5 2 3" xfId="12628" xr:uid="{681C7CE5-87F2-4FC6-8B99-412326D8435F}"/>
    <cellStyle name="Comma 4 2 2 3 2 5 3" xfId="6259" xr:uid="{00000000-0005-0000-0000-00000E080000}"/>
    <cellStyle name="Comma 4 2 2 3 2 5 3 2" xfId="14701" xr:uid="{987D6631-F13E-4CAD-8901-53CEC45AFE5D}"/>
    <cellStyle name="Comma 4 2 2 3 2 5 4" xfId="10483" xr:uid="{1186A93E-7939-4AAF-BEDE-9C8F8CBB75CB}"/>
    <cellStyle name="Comma 4 2 2 3 2 6" xfId="2387" xr:uid="{00000000-0005-0000-0000-00000F080000}"/>
    <cellStyle name="Comma 4 2 2 3 2 6 2" xfId="6672" xr:uid="{00000000-0005-0000-0000-000010080000}"/>
    <cellStyle name="Comma 4 2 2 3 2 6 2 2" xfId="15114" xr:uid="{7191D89E-6D8A-45D7-8383-B50E47F87002}"/>
    <cellStyle name="Comma 4 2 2 3 2 6 3" xfId="10896" xr:uid="{7E51CCF2-5BC0-41CD-81A0-8C580351C6CD}"/>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D93CF753-2D43-4F63-A612-FE43399FA28D}"/>
    <cellStyle name="Comma 4 2 2 3 2 8 3" xfId="11213" xr:uid="{CAFFD562-6856-4F01-B33F-2B117570D4B5}"/>
    <cellStyle name="Comma 4 2 2 3 2 9" xfId="4606" xr:uid="{00000000-0005-0000-0000-000014080000}"/>
    <cellStyle name="Comma 4 2 2 3 2 9 2" xfId="13048" xr:uid="{46CC60C6-AB04-4922-99EA-4AC3D2F8FC2C}"/>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3E44A89F-6D2C-42D7-AD94-6EA6A97F0ED8}"/>
    <cellStyle name="Comma 4 2 2 3 3 2 3" xfId="11388" xr:uid="{18C0486E-65E8-46EE-B89F-FEEF0CCF5C09}"/>
    <cellStyle name="Comma 4 2 2 3 3 3" xfId="5019" xr:uid="{00000000-0005-0000-0000-000018080000}"/>
    <cellStyle name="Comma 4 2 2 3 3 3 2" xfId="13461" xr:uid="{EEC1D9BA-286D-45B7-BEC8-6855B55983C5}"/>
    <cellStyle name="Comma 4 2 2 3 3 4" xfId="9243" xr:uid="{F2F94D75-89DB-4C7B-A9AC-EEDD6840A2BE}"/>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0AF62AA9-BB94-4BE8-B5A9-8C49A8B3C2FF}"/>
    <cellStyle name="Comma 4 2 2 3 4 2 3" xfId="11801" xr:uid="{40016C62-BDA3-45BE-929D-07DCE77E86F2}"/>
    <cellStyle name="Comma 4 2 2 3 4 3" xfId="5432" xr:uid="{00000000-0005-0000-0000-00001C080000}"/>
    <cellStyle name="Comma 4 2 2 3 4 3 2" xfId="13874" xr:uid="{79D6F458-BE13-4875-821B-12170E240F97}"/>
    <cellStyle name="Comma 4 2 2 3 4 4" xfId="9656" xr:uid="{A683EF27-CF98-4554-9492-364C4B82ADA1}"/>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A17E6A9C-499B-4602-A912-617E2BF8738C}"/>
    <cellStyle name="Comma 4 2 2 3 5 2 3" xfId="12214" xr:uid="{39EDCC1F-F9A0-4BE3-8829-A3483F3731A9}"/>
    <cellStyle name="Comma 4 2 2 3 5 3" xfId="5845" xr:uid="{00000000-0005-0000-0000-000020080000}"/>
    <cellStyle name="Comma 4 2 2 3 5 3 2" xfId="14287" xr:uid="{54F256B0-EBFB-48BF-B2FE-2002BB20B2E3}"/>
    <cellStyle name="Comma 4 2 2 3 5 4" xfId="10069" xr:uid="{8C73F129-E704-45F6-8614-2A35CBAEB8E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0278E4E-A5F3-4A68-A713-A3A7784DE126}"/>
    <cellStyle name="Comma 4 2 2 3 6 2 3" xfId="12627" xr:uid="{21B1795D-9C89-4418-AFAE-07ED4EC8DF8B}"/>
    <cellStyle name="Comma 4 2 2 3 6 3" xfId="6258" xr:uid="{00000000-0005-0000-0000-000024080000}"/>
    <cellStyle name="Comma 4 2 2 3 6 3 2" xfId="14700" xr:uid="{7096C14C-530C-447E-AF6E-5C5F518D55BA}"/>
    <cellStyle name="Comma 4 2 2 3 6 4" xfId="10482" xr:uid="{2ABE3A77-421C-4646-9E5F-73BF4BF287A3}"/>
    <cellStyle name="Comma 4 2 2 3 7" xfId="2386" xr:uid="{00000000-0005-0000-0000-000025080000}"/>
    <cellStyle name="Comma 4 2 2 3 7 2" xfId="6671" xr:uid="{00000000-0005-0000-0000-000026080000}"/>
    <cellStyle name="Comma 4 2 2 3 7 2 2" xfId="15113" xr:uid="{6E27316A-5000-4259-BCD8-7F11574EC48B}"/>
    <cellStyle name="Comma 4 2 2 3 7 3" xfId="10895" xr:uid="{8EB37641-3AB9-45CE-9C11-9C4626345D9D}"/>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83E2051D-F175-439A-8956-DDEAB566F1B9}"/>
    <cellStyle name="Comma 4 2 2 3 9 3" xfId="11212" xr:uid="{ACF5390B-CD30-46A8-A9DC-DC51B572D8EE}"/>
    <cellStyle name="Comma 4 2 2 4" xfId="134" xr:uid="{00000000-0005-0000-0000-00002A080000}"/>
    <cellStyle name="Comma 4 2 2 4 10" xfId="8831" xr:uid="{F5BB512C-FC5E-4C61-8378-5BED7B94FE99}"/>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53A37B5B-587D-4EFE-9DE3-C1F69E6D62E8}"/>
    <cellStyle name="Comma 4 2 2 4 2 2 3" xfId="11390" xr:uid="{200229C1-05BC-493E-9E52-CE6150922DEC}"/>
    <cellStyle name="Comma 4 2 2 4 2 3" xfId="5021" xr:uid="{00000000-0005-0000-0000-00002E080000}"/>
    <cellStyle name="Comma 4 2 2 4 2 3 2" xfId="13463" xr:uid="{BEA8082F-3975-4C6E-9BB0-9E48E55F0440}"/>
    <cellStyle name="Comma 4 2 2 4 2 4" xfId="9245" xr:uid="{DE671734-EB71-45C5-B001-11D49226F79E}"/>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4B36A343-A7B3-458B-86D1-54D74D1C77E7}"/>
    <cellStyle name="Comma 4 2 2 4 3 2 3" xfId="11803" xr:uid="{9DA6E0E8-3424-418F-BD94-D0D5BA50A653}"/>
    <cellStyle name="Comma 4 2 2 4 3 3" xfId="5434" xr:uid="{00000000-0005-0000-0000-000032080000}"/>
    <cellStyle name="Comma 4 2 2 4 3 3 2" xfId="13876" xr:uid="{CD8BED9E-C19D-481F-B76A-596613A2070C}"/>
    <cellStyle name="Comma 4 2 2 4 3 4" xfId="9658" xr:uid="{FF31460C-BDB6-4907-B55F-C93155DDFDCD}"/>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152E70B0-B810-4A66-9154-7D9CA4612DA9}"/>
    <cellStyle name="Comma 4 2 2 4 4 2 3" xfId="12216" xr:uid="{9705ED5C-848A-406F-ACF6-7BE44C584164}"/>
    <cellStyle name="Comma 4 2 2 4 4 3" xfId="5847" xr:uid="{00000000-0005-0000-0000-000036080000}"/>
    <cellStyle name="Comma 4 2 2 4 4 3 2" xfId="14289" xr:uid="{75B94BBB-50CB-41FC-AFFA-F6A53DCDF96A}"/>
    <cellStyle name="Comma 4 2 2 4 4 4" xfId="10071" xr:uid="{907CB5C5-1FE1-4AA6-88B7-B80E986E20B1}"/>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A4C6855D-AC82-42BE-AA14-BD6E1153E768}"/>
    <cellStyle name="Comma 4 2 2 4 5 2 3" xfId="12629" xr:uid="{A1009103-74B6-4FF3-9715-669F6132E76F}"/>
    <cellStyle name="Comma 4 2 2 4 5 3" xfId="6260" xr:uid="{00000000-0005-0000-0000-00003A080000}"/>
    <cellStyle name="Comma 4 2 2 4 5 3 2" xfId="14702" xr:uid="{40C52E7D-2424-4814-B4D4-8233FE825F85}"/>
    <cellStyle name="Comma 4 2 2 4 5 4" xfId="10484" xr:uid="{A3D8B3C9-A55A-4AD0-8B33-D37E126EB575}"/>
    <cellStyle name="Comma 4 2 2 4 6" xfId="2388" xr:uid="{00000000-0005-0000-0000-00003B080000}"/>
    <cellStyle name="Comma 4 2 2 4 6 2" xfId="6673" xr:uid="{00000000-0005-0000-0000-00003C080000}"/>
    <cellStyle name="Comma 4 2 2 4 6 2 2" xfId="15115" xr:uid="{9A55B638-9CC1-44A7-A248-0C356BD492D4}"/>
    <cellStyle name="Comma 4 2 2 4 6 3" xfId="10897" xr:uid="{DCACBF57-3954-4D50-A964-C4CC2DCB8080}"/>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93EDA72D-B7BE-4AD8-8AE4-7A884EFE79D9}"/>
    <cellStyle name="Comma 4 2 2 4 8 3" xfId="11214" xr:uid="{587DD4EA-C38E-4539-AAFC-1B419AFCD6B5}"/>
    <cellStyle name="Comma 4 2 2 4 9" xfId="4607" xr:uid="{00000000-0005-0000-0000-000040080000}"/>
    <cellStyle name="Comma 4 2 2 4 9 2" xfId="13049" xr:uid="{FF961A40-0491-4753-ACE6-E87570F9404E}"/>
    <cellStyle name="Comma 4 2 2 5" xfId="135" xr:uid="{00000000-0005-0000-0000-000041080000}"/>
    <cellStyle name="Comma 4 2 2 5 10" xfId="8832" xr:uid="{F51FA90E-8310-47FE-9E53-FA3FBF43A42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A4BF5E18-79FD-4B08-A765-9DBBD67BCF2F}"/>
    <cellStyle name="Comma 4 2 2 5 2 2 3" xfId="11391" xr:uid="{61712DFB-B798-4554-A4A1-60060DD9B950}"/>
    <cellStyle name="Comma 4 2 2 5 2 3" xfId="5022" xr:uid="{00000000-0005-0000-0000-000045080000}"/>
    <cellStyle name="Comma 4 2 2 5 2 3 2" xfId="13464" xr:uid="{366D32C5-EEAB-4663-A0AE-7233E0051457}"/>
    <cellStyle name="Comma 4 2 2 5 2 4" xfId="9246" xr:uid="{8207ACF7-B7C8-497C-8803-36434E46E92A}"/>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BA0072B-8588-4F93-9F4B-DDC898074BC6}"/>
    <cellStyle name="Comma 4 2 2 5 3 2 3" xfId="11804" xr:uid="{64669A1A-CB16-4B8C-8711-0C2AA702FBF5}"/>
    <cellStyle name="Comma 4 2 2 5 3 3" xfId="5435" xr:uid="{00000000-0005-0000-0000-000049080000}"/>
    <cellStyle name="Comma 4 2 2 5 3 3 2" xfId="13877" xr:uid="{9B4B3E97-C06D-49DA-A352-D25B78C1B35F}"/>
    <cellStyle name="Comma 4 2 2 5 3 4" xfId="9659" xr:uid="{D273D148-2544-479A-8FC4-88ED68B07C62}"/>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C4A89EF0-8CD8-47A1-8B94-183B9453A6C0}"/>
    <cellStyle name="Comma 4 2 2 5 4 2 3" xfId="12217" xr:uid="{8BA9EBED-0468-4323-AF92-9DA47EEACEE6}"/>
    <cellStyle name="Comma 4 2 2 5 4 3" xfId="5848" xr:uid="{00000000-0005-0000-0000-00004D080000}"/>
    <cellStyle name="Comma 4 2 2 5 4 3 2" xfId="14290" xr:uid="{CD132381-E572-4CF1-9E65-E7DDDDA16446}"/>
    <cellStyle name="Comma 4 2 2 5 4 4" xfId="10072" xr:uid="{6B43C163-DA15-455E-9D82-6D5BB472AAB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DF4AD109-28E1-4521-9071-EE27CCF431AB}"/>
    <cellStyle name="Comma 4 2 2 5 5 2 3" xfId="12630" xr:uid="{1C8D9ADA-5BF2-466E-841A-E34D54720182}"/>
    <cellStyle name="Comma 4 2 2 5 5 3" xfId="6261" xr:uid="{00000000-0005-0000-0000-000051080000}"/>
    <cellStyle name="Comma 4 2 2 5 5 3 2" xfId="14703" xr:uid="{B5983EA0-1E13-49E1-BA3D-22C7367848A4}"/>
    <cellStyle name="Comma 4 2 2 5 5 4" xfId="10485" xr:uid="{8A2782D2-30EE-4D4A-9E72-52D4574BCF57}"/>
    <cellStyle name="Comma 4 2 2 5 6" xfId="2389" xr:uid="{00000000-0005-0000-0000-000052080000}"/>
    <cellStyle name="Comma 4 2 2 5 6 2" xfId="6674" xr:uid="{00000000-0005-0000-0000-000053080000}"/>
    <cellStyle name="Comma 4 2 2 5 6 2 2" xfId="15116" xr:uid="{BF0BEB2B-5EAA-4042-8C78-E7110E648679}"/>
    <cellStyle name="Comma 4 2 2 5 6 3" xfId="10898" xr:uid="{AF6CF9AE-FCB9-4DF9-8001-2D0DEF2E045C}"/>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1DF7F048-2136-4EC2-B048-280A4187812B}"/>
    <cellStyle name="Comma 4 2 2 5 8 3" xfId="11215" xr:uid="{7C432AC5-1755-4A98-AA51-19923F0A9AD2}"/>
    <cellStyle name="Comma 4 2 2 5 9" xfId="4608" xr:uid="{00000000-0005-0000-0000-000057080000}"/>
    <cellStyle name="Comma 4 2 2 5 9 2" xfId="13050" xr:uid="{C0E010CB-DAF4-4BFB-9D3E-39749DC83A4A}"/>
    <cellStyle name="Comma 4 2 3" xfId="136" xr:uid="{00000000-0005-0000-0000-000058080000}"/>
    <cellStyle name="Comma 4 2 3 10" xfId="2768" xr:uid="{00000000-0005-0000-0000-000059080000}"/>
    <cellStyle name="Comma 4 2 3 10 2" xfId="6992" xr:uid="{00000000-0005-0000-0000-00005A080000}"/>
    <cellStyle name="Comma 4 2 3 10 2 2" xfId="15434" xr:uid="{F8A34DA3-E2A3-4DF2-AB25-E3126FB62DD6}"/>
    <cellStyle name="Comma 4 2 3 10 3" xfId="11216" xr:uid="{81E68D7D-D549-4294-9D88-CCB24C21489D}"/>
    <cellStyle name="Comma 4 2 3 11" xfId="4609" xr:uid="{00000000-0005-0000-0000-00005B080000}"/>
    <cellStyle name="Comma 4 2 3 11 2" xfId="13051" xr:uid="{A30702B1-5271-4FDE-A491-8748B398F5F8}"/>
    <cellStyle name="Comma 4 2 3 12" xfId="8833" xr:uid="{55B6A983-D597-4EDF-BD4D-7AA5F2DC50FD}"/>
    <cellStyle name="Comma 4 2 3 2" xfId="137" xr:uid="{00000000-0005-0000-0000-00005C080000}"/>
    <cellStyle name="Comma 4 2 3 2 10" xfId="4610" xr:uid="{00000000-0005-0000-0000-00005D080000}"/>
    <cellStyle name="Comma 4 2 3 2 10 2" xfId="13052" xr:uid="{BCB44367-CA76-4892-8AC9-7E69D0FF4B26}"/>
    <cellStyle name="Comma 4 2 3 2 11" xfId="8834" xr:uid="{57DCF11C-B9C2-400A-B2B1-AC2B803AC8A5}"/>
    <cellStyle name="Comma 4 2 3 2 2" xfId="138" xr:uid="{00000000-0005-0000-0000-00005E080000}"/>
    <cellStyle name="Comma 4 2 3 2 2 10" xfId="8835" xr:uid="{9D91FB74-6156-4D06-826F-A430211B3CB6}"/>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8E4FF039-53D6-4924-ABA6-394C986255DA}"/>
    <cellStyle name="Comma 4 2 3 2 2 2 2 3" xfId="11394" xr:uid="{931B6735-6756-4CEB-A89E-05CE41B0572B}"/>
    <cellStyle name="Comma 4 2 3 2 2 2 3" xfId="5025" xr:uid="{00000000-0005-0000-0000-000062080000}"/>
    <cellStyle name="Comma 4 2 3 2 2 2 3 2" xfId="13467" xr:uid="{9901D809-4A98-44F4-B3E0-EACF59A98717}"/>
    <cellStyle name="Comma 4 2 3 2 2 2 4" xfId="9249" xr:uid="{2D6BB980-6A8E-432E-880F-F45529905260}"/>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1DE04E24-39B4-4F15-9A95-07ABDFB2EA71}"/>
    <cellStyle name="Comma 4 2 3 2 2 3 2 3" xfId="11807" xr:uid="{8F30E0A7-7305-400B-9645-E8E5E341E331}"/>
    <cellStyle name="Comma 4 2 3 2 2 3 3" xfId="5438" xr:uid="{00000000-0005-0000-0000-000066080000}"/>
    <cellStyle name="Comma 4 2 3 2 2 3 3 2" xfId="13880" xr:uid="{5B4DA13D-DE26-47F0-A5F4-D800C81B7C3B}"/>
    <cellStyle name="Comma 4 2 3 2 2 3 4" xfId="9662" xr:uid="{2600EB27-EA93-46CB-89FC-21083A365C85}"/>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4182DEEF-7758-46CB-8A2C-0CAFF94B4344}"/>
    <cellStyle name="Comma 4 2 3 2 2 4 2 3" xfId="12220" xr:uid="{709BE3A7-C4A6-4581-A379-DC965BDD389F}"/>
    <cellStyle name="Comma 4 2 3 2 2 4 3" xfId="5851" xr:uid="{00000000-0005-0000-0000-00006A080000}"/>
    <cellStyle name="Comma 4 2 3 2 2 4 3 2" xfId="14293" xr:uid="{919BBE6E-0574-4ED7-81D7-AB300678C7AA}"/>
    <cellStyle name="Comma 4 2 3 2 2 4 4" xfId="10075" xr:uid="{F0C6FBD0-2E0B-4EE2-A044-CD040E3E3F52}"/>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0BEF9F29-86D8-4CEB-851E-D6C119E38A96}"/>
    <cellStyle name="Comma 4 2 3 2 2 5 2 3" xfId="12633" xr:uid="{EF4FE818-A2CF-406A-B9DB-616B7FAD14CC}"/>
    <cellStyle name="Comma 4 2 3 2 2 5 3" xfId="6264" xr:uid="{00000000-0005-0000-0000-00006E080000}"/>
    <cellStyle name="Comma 4 2 3 2 2 5 3 2" xfId="14706" xr:uid="{139F922A-A277-4414-BF8C-70EBB6DC6B9F}"/>
    <cellStyle name="Comma 4 2 3 2 2 5 4" xfId="10488" xr:uid="{8691C454-06C4-464A-8EA8-F58C45BDC698}"/>
    <cellStyle name="Comma 4 2 3 2 2 6" xfId="2392" xr:uid="{00000000-0005-0000-0000-00006F080000}"/>
    <cellStyle name="Comma 4 2 3 2 2 6 2" xfId="6677" xr:uid="{00000000-0005-0000-0000-000070080000}"/>
    <cellStyle name="Comma 4 2 3 2 2 6 2 2" xfId="15119" xr:uid="{8B1E8A8B-6D47-41F6-9BE5-AF72D0726FEF}"/>
    <cellStyle name="Comma 4 2 3 2 2 6 3" xfId="10901" xr:uid="{70929403-94E7-4B7F-A8EE-357E29783552}"/>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94E95E1E-6546-46C9-BE9A-4A9232892C26}"/>
    <cellStyle name="Comma 4 2 3 2 2 8 3" xfId="11218" xr:uid="{3F675484-825A-4D76-A816-8728274CDEFD}"/>
    <cellStyle name="Comma 4 2 3 2 2 9" xfId="4611" xr:uid="{00000000-0005-0000-0000-000074080000}"/>
    <cellStyle name="Comma 4 2 3 2 2 9 2" xfId="13053" xr:uid="{40E65D07-9C49-4C09-A8BD-3D505041540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F9E952A0-A187-41F1-AB47-7434EDD542E8}"/>
    <cellStyle name="Comma 4 2 3 2 3 2 3" xfId="11393" xr:uid="{A97EF03F-79FC-4F7E-B5EB-E7D2EF9388A4}"/>
    <cellStyle name="Comma 4 2 3 2 3 3" xfId="5024" xr:uid="{00000000-0005-0000-0000-000078080000}"/>
    <cellStyle name="Comma 4 2 3 2 3 3 2" xfId="13466" xr:uid="{6DAEF852-4485-44BB-934A-4FF1808911D4}"/>
    <cellStyle name="Comma 4 2 3 2 3 4" xfId="9248" xr:uid="{96018D1A-B4BF-4A76-8CF0-EE202FFA93B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F71F3F72-1AE6-431C-9161-C69F3A14E4E9}"/>
    <cellStyle name="Comma 4 2 3 2 4 2 3" xfId="11806" xr:uid="{A29E1CB4-EC8E-4DCB-A445-3E1C8B0BBDC1}"/>
    <cellStyle name="Comma 4 2 3 2 4 3" xfId="5437" xr:uid="{00000000-0005-0000-0000-00007C080000}"/>
    <cellStyle name="Comma 4 2 3 2 4 3 2" xfId="13879" xr:uid="{9837D1FC-69BF-4FF8-9F9B-C34D13F4B87D}"/>
    <cellStyle name="Comma 4 2 3 2 4 4" xfId="9661" xr:uid="{2CB90830-33E6-41D1-8FC9-E33F7626D93B}"/>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F6F7E7CD-DC7B-451C-ABCD-799E445EBE41}"/>
    <cellStyle name="Comma 4 2 3 2 5 2 3" xfId="12219" xr:uid="{C2CB8EC5-7020-493F-B327-C835585746D7}"/>
    <cellStyle name="Comma 4 2 3 2 5 3" xfId="5850" xr:uid="{00000000-0005-0000-0000-000080080000}"/>
    <cellStyle name="Comma 4 2 3 2 5 3 2" xfId="14292" xr:uid="{883657E5-D110-45DB-8259-604ED11AFFF0}"/>
    <cellStyle name="Comma 4 2 3 2 5 4" xfId="10074" xr:uid="{8E099239-C097-4303-B509-228660A0D39F}"/>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266B551-F520-47B4-891A-1FB707C460F5}"/>
    <cellStyle name="Comma 4 2 3 2 6 2 3" xfId="12632" xr:uid="{E99ACAE8-E96A-47C3-961D-D89998ABB6B0}"/>
    <cellStyle name="Comma 4 2 3 2 6 3" xfId="6263" xr:uid="{00000000-0005-0000-0000-000084080000}"/>
    <cellStyle name="Comma 4 2 3 2 6 3 2" xfId="14705" xr:uid="{B3D00B80-D545-4A84-93E9-423B8A8502AC}"/>
    <cellStyle name="Comma 4 2 3 2 6 4" xfId="10487" xr:uid="{A23181C6-9BDF-4E4A-BBA1-01104EECCBBE}"/>
    <cellStyle name="Comma 4 2 3 2 7" xfId="2391" xr:uid="{00000000-0005-0000-0000-000085080000}"/>
    <cellStyle name="Comma 4 2 3 2 7 2" xfId="6676" xr:uid="{00000000-0005-0000-0000-000086080000}"/>
    <cellStyle name="Comma 4 2 3 2 7 2 2" xfId="15118" xr:uid="{3EF0A78C-6FA3-4E09-9CAF-3B0DC18548BE}"/>
    <cellStyle name="Comma 4 2 3 2 7 3" xfId="10900" xr:uid="{EC832326-AEAF-4661-9D51-663BB4F19396}"/>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2E992A5A-AA26-4204-8956-81745313CA5E}"/>
    <cellStyle name="Comma 4 2 3 2 9 3" xfId="11217" xr:uid="{BE5ED184-26FB-416B-8600-B731ED9B7467}"/>
    <cellStyle name="Comma 4 2 3 3" xfId="139" xr:uid="{00000000-0005-0000-0000-00008A080000}"/>
    <cellStyle name="Comma 4 2 3 3 10" xfId="8836" xr:uid="{63D60FB4-6D2E-4F40-9867-F316C9467B89}"/>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AB72623A-2CE1-4A85-BB6B-B00C1115748D}"/>
    <cellStyle name="Comma 4 2 3 3 2 2 3" xfId="11395" xr:uid="{41A1239F-E179-4C15-908D-4E5849D08C45}"/>
    <cellStyle name="Comma 4 2 3 3 2 3" xfId="5026" xr:uid="{00000000-0005-0000-0000-00008E080000}"/>
    <cellStyle name="Comma 4 2 3 3 2 3 2" xfId="13468" xr:uid="{3BE57DAA-99C4-4474-9BF7-EABBDEE0BEB0}"/>
    <cellStyle name="Comma 4 2 3 3 2 4" xfId="9250" xr:uid="{DE2878ED-7F6A-4138-9BA6-54B4E0B1B0B9}"/>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0D0ACB69-6F56-4A74-B18B-6F8BBE20ECDF}"/>
    <cellStyle name="Comma 4 2 3 3 3 2 3" xfId="11808" xr:uid="{E4185890-FBEC-4DA9-9764-042DBFFC9FC3}"/>
    <cellStyle name="Comma 4 2 3 3 3 3" xfId="5439" xr:uid="{00000000-0005-0000-0000-000092080000}"/>
    <cellStyle name="Comma 4 2 3 3 3 3 2" xfId="13881" xr:uid="{324E9A7D-AB77-44D2-954F-1969EC7BEE70}"/>
    <cellStyle name="Comma 4 2 3 3 3 4" xfId="9663" xr:uid="{9902CF51-29FB-489B-B49C-9FDA627741A5}"/>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DA3BEEB9-B7BF-4507-A46C-8C62613DD133}"/>
    <cellStyle name="Comma 4 2 3 3 4 2 3" xfId="12221" xr:uid="{ECD5C9B0-ADE2-465E-BD58-29D17BA8FF1C}"/>
    <cellStyle name="Comma 4 2 3 3 4 3" xfId="5852" xr:uid="{00000000-0005-0000-0000-000096080000}"/>
    <cellStyle name="Comma 4 2 3 3 4 3 2" xfId="14294" xr:uid="{38A3AF59-4750-424A-BDB9-FB41964DD9AA}"/>
    <cellStyle name="Comma 4 2 3 3 4 4" xfId="10076" xr:uid="{DB95F6FE-F99F-4668-8D52-282E06074FD3}"/>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2F461266-DC8F-4691-8179-22276ECE52C2}"/>
    <cellStyle name="Comma 4 2 3 3 5 2 3" xfId="12634" xr:uid="{D2176E42-CC7A-46BA-8642-BA3B291B3F5E}"/>
    <cellStyle name="Comma 4 2 3 3 5 3" xfId="6265" xr:uid="{00000000-0005-0000-0000-00009A080000}"/>
    <cellStyle name="Comma 4 2 3 3 5 3 2" xfId="14707" xr:uid="{A83BDEB1-9048-41D8-9CDD-55B6D4E0EE42}"/>
    <cellStyle name="Comma 4 2 3 3 5 4" xfId="10489" xr:uid="{5EFACB6F-E700-4680-8726-6ABE574776AA}"/>
    <cellStyle name="Comma 4 2 3 3 6" xfId="2393" xr:uid="{00000000-0005-0000-0000-00009B080000}"/>
    <cellStyle name="Comma 4 2 3 3 6 2" xfId="6678" xr:uid="{00000000-0005-0000-0000-00009C080000}"/>
    <cellStyle name="Comma 4 2 3 3 6 2 2" xfId="15120" xr:uid="{13EEC91D-A2DD-4259-A412-65E09A389525}"/>
    <cellStyle name="Comma 4 2 3 3 6 3" xfId="10902" xr:uid="{61456F02-9856-497E-8EAA-357B9B0EE6E8}"/>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55429312-6531-44B4-9DA2-D5895415253D}"/>
    <cellStyle name="Comma 4 2 3 3 8 3" xfId="11219" xr:uid="{98406912-7689-44B6-A0B6-61F3547A448B}"/>
    <cellStyle name="Comma 4 2 3 3 9" xfId="4612" xr:uid="{00000000-0005-0000-0000-0000A0080000}"/>
    <cellStyle name="Comma 4 2 3 3 9 2" xfId="13054" xr:uid="{3AE55472-458A-4EFA-A4F8-62B1D9B276C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F968BCEE-1C8B-434A-98FC-7B5D1DF27203}"/>
    <cellStyle name="Comma 4 2 3 4 2 3" xfId="11392" xr:uid="{908F39B0-F2F6-43B4-9605-9246FE4ACEDB}"/>
    <cellStyle name="Comma 4 2 3 4 3" xfId="5023" xr:uid="{00000000-0005-0000-0000-0000A4080000}"/>
    <cellStyle name="Comma 4 2 3 4 3 2" xfId="13465" xr:uid="{3DA63C4C-73A1-41C1-877D-CD3A6890207E}"/>
    <cellStyle name="Comma 4 2 3 4 4" xfId="9247" xr:uid="{8FE5D578-DDD3-4EEB-A747-1F8C5F85AF46}"/>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715B912-B7B6-4381-BFBA-54CFE9773916}"/>
    <cellStyle name="Comma 4 2 3 5 2 3" xfId="11805" xr:uid="{50CCAC10-A4E1-456A-82C1-35878BE2C551}"/>
    <cellStyle name="Comma 4 2 3 5 3" xfId="5436" xr:uid="{00000000-0005-0000-0000-0000A8080000}"/>
    <cellStyle name="Comma 4 2 3 5 3 2" xfId="13878" xr:uid="{06C8A545-B676-428F-BF37-305B7DFB6797}"/>
    <cellStyle name="Comma 4 2 3 5 4" xfId="9660" xr:uid="{F605CDD0-089A-4F93-983F-E580CF3D7A69}"/>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7C80FA14-956C-4B98-A13B-47098586D953}"/>
    <cellStyle name="Comma 4 2 3 6 2 3" xfId="12218" xr:uid="{153AA9C2-B735-41BA-9D02-896373899814}"/>
    <cellStyle name="Comma 4 2 3 6 3" xfId="5849" xr:uid="{00000000-0005-0000-0000-0000AC080000}"/>
    <cellStyle name="Comma 4 2 3 6 3 2" xfId="14291" xr:uid="{52E853F2-F074-40A1-AE32-A5374648C5AA}"/>
    <cellStyle name="Comma 4 2 3 6 4" xfId="10073" xr:uid="{CADF0AE7-1FBE-4B62-9B66-D83C987EB483}"/>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5B8D3AC5-0F00-4132-9938-C3B41399232A}"/>
    <cellStyle name="Comma 4 2 3 7 2 3" xfId="12631" xr:uid="{04D5EAC2-673D-4EE9-929F-782FBB9FA37A}"/>
    <cellStyle name="Comma 4 2 3 7 3" xfId="6262" xr:uid="{00000000-0005-0000-0000-0000B0080000}"/>
    <cellStyle name="Comma 4 2 3 7 3 2" xfId="14704" xr:uid="{65DDB68E-97D5-4E46-A41A-B06D197D944E}"/>
    <cellStyle name="Comma 4 2 3 7 4" xfId="10486" xr:uid="{BCBC569F-F620-4D9F-9FC6-4F40BFD0AED6}"/>
    <cellStyle name="Comma 4 2 3 8" xfId="2390" xr:uid="{00000000-0005-0000-0000-0000B1080000}"/>
    <cellStyle name="Comma 4 2 3 8 2" xfId="6675" xr:uid="{00000000-0005-0000-0000-0000B2080000}"/>
    <cellStyle name="Comma 4 2 3 8 2 2" xfId="15117" xr:uid="{FC054975-AD66-4047-841B-A40A922F3ABC}"/>
    <cellStyle name="Comma 4 2 3 8 3" xfId="10899" xr:uid="{CC685499-AC25-4720-93A0-249D90C4740B}"/>
    <cellStyle name="Comma 4 2 3 9" xfId="2373" xr:uid="{00000000-0005-0000-0000-0000B3080000}"/>
    <cellStyle name="Comma 4 2 4" xfId="140" xr:uid="{00000000-0005-0000-0000-0000B4080000}"/>
    <cellStyle name="Comma 4 2 4 10" xfId="4613" xr:uid="{00000000-0005-0000-0000-0000B5080000}"/>
    <cellStyle name="Comma 4 2 4 10 2" xfId="13055" xr:uid="{B282F3C9-A8F2-4442-B615-1FF5D869AACB}"/>
    <cellStyle name="Comma 4 2 4 11" xfId="8837" xr:uid="{8A6D30DE-C8E9-412D-9CDD-237B132DF379}"/>
    <cellStyle name="Comma 4 2 4 2" xfId="141" xr:uid="{00000000-0005-0000-0000-0000B6080000}"/>
    <cellStyle name="Comma 4 2 4 2 10" xfId="8838" xr:uid="{9EFA9A0D-8A69-4322-9EDC-3CA086F1EA42}"/>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A7F3DDD6-B352-433F-9222-C6C61E434BCC}"/>
    <cellStyle name="Comma 4 2 4 2 2 2 3" xfId="11397" xr:uid="{194CF843-73C5-4281-B205-518E2BADF23F}"/>
    <cellStyle name="Comma 4 2 4 2 2 3" xfId="5028" xr:uid="{00000000-0005-0000-0000-0000BA080000}"/>
    <cellStyle name="Comma 4 2 4 2 2 3 2" xfId="13470" xr:uid="{185D78F9-7426-4C14-9861-5B389F579D31}"/>
    <cellStyle name="Comma 4 2 4 2 2 4" xfId="9252" xr:uid="{3646AE45-6F98-435D-8FAF-0C41439C6659}"/>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AFAB1C93-01C7-49C7-8F80-F33189AF57D0}"/>
    <cellStyle name="Comma 4 2 4 2 3 2 3" xfId="11810" xr:uid="{3513BEF7-CC22-4C18-A2EF-BE950944FF0A}"/>
    <cellStyle name="Comma 4 2 4 2 3 3" xfId="5441" xr:uid="{00000000-0005-0000-0000-0000BE080000}"/>
    <cellStyle name="Comma 4 2 4 2 3 3 2" xfId="13883" xr:uid="{26D53E8E-61ED-4BF2-A57B-459CFA62F98A}"/>
    <cellStyle name="Comma 4 2 4 2 3 4" xfId="9665" xr:uid="{0C589FA5-6A11-4BE6-A082-DD365B24C5E2}"/>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14DBC690-530B-4403-828A-2BE815DDD42B}"/>
    <cellStyle name="Comma 4 2 4 2 4 2 3" xfId="12223" xr:uid="{443A7A31-B1BF-41A6-AAEF-DFF2C4F32F12}"/>
    <cellStyle name="Comma 4 2 4 2 4 3" xfId="5854" xr:uid="{00000000-0005-0000-0000-0000C2080000}"/>
    <cellStyle name="Comma 4 2 4 2 4 3 2" xfId="14296" xr:uid="{3DDED073-D857-4457-9F1B-487CB80713DE}"/>
    <cellStyle name="Comma 4 2 4 2 4 4" xfId="10078" xr:uid="{BE1AE5BC-8160-4CB2-A6D9-7365BF9EE961}"/>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612AA881-6687-43EE-A449-62460BE447B2}"/>
    <cellStyle name="Comma 4 2 4 2 5 2 3" xfId="12636" xr:uid="{85E00434-2C72-4D5A-B6BC-57FBE34C9927}"/>
    <cellStyle name="Comma 4 2 4 2 5 3" xfId="6267" xr:uid="{00000000-0005-0000-0000-0000C6080000}"/>
    <cellStyle name="Comma 4 2 4 2 5 3 2" xfId="14709" xr:uid="{624DA268-6406-459C-B620-3EB215B64177}"/>
    <cellStyle name="Comma 4 2 4 2 5 4" xfId="10491" xr:uid="{083D81B0-3822-4101-8152-72251E3917B3}"/>
    <cellStyle name="Comma 4 2 4 2 6" xfId="2395" xr:uid="{00000000-0005-0000-0000-0000C7080000}"/>
    <cellStyle name="Comma 4 2 4 2 6 2" xfId="6680" xr:uid="{00000000-0005-0000-0000-0000C8080000}"/>
    <cellStyle name="Comma 4 2 4 2 6 2 2" xfId="15122" xr:uid="{AF1750ED-181A-413C-A3AD-90A2DFD0BEBD}"/>
    <cellStyle name="Comma 4 2 4 2 6 3" xfId="10904" xr:uid="{7C418615-FDF2-41AC-B8F7-945AA8EEA355}"/>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9E2520CB-8F43-4A5C-9F51-337900376019}"/>
    <cellStyle name="Comma 4 2 4 2 8 3" xfId="11221" xr:uid="{C5898F95-582F-4993-8C4B-F86A64520106}"/>
    <cellStyle name="Comma 4 2 4 2 9" xfId="4614" xr:uid="{00000000-0005-0000-0000-0000CC080000}"/>
    <cellStyle name="Comma 4 2 4 2 9 2" xfId="13056" xr:uid="{68858058-B6D9-48E2-82AF-62DD69A628E4}"/>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21933937-5201-44E9-9506-04A78BE3F90E}"/>
    <cellStyle name="Comma 4 2 4 3 2 3" xfId="11396" xr:uid="{BE0590F5-4BEF-4831-8C05-78078F0FD7BA}"/>
    <cellStyle name="Comma 4 2 4 3 3" xfId="5027" xr:uid="{00000000-0005-0000-0000-0000D0080000}"/>
    <cellStyle name="Comma 4 2 4 3 3 2" xfId="13469" xr:uid="{7DEA6905-B1FE-46A2-86A5-1E93822942C3}"/>
    <cellStyle name="Comma 4 2 4 3 4" xfId="9251" xr:uid="{A4B884EF-9518-40E2-82F9-9F7B67FE898A}"/>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998F6697-C1BA-4078-9B0C-37E91ECD4D4D}"/>
    <cellStyle name="Comma 4 2 4 4 2 3" xfId="11809" xr:uid="{0CA54B5B-9D14-4D5E-8833-6A2FD4C16A17}"/>
    <cellStyle name="Comma 4 2 4 4 3" xfId="5440" xr:uid="{00000000-0005-0000-0000-0000D4080000}"/>
    <cellStyle name="Comma 4 2 4 4 3 2" xfId="13882" xr:uid="{5D266626-37A8-4BB8-A6F8-F905E2A25F6B}"/>
    <cellStyle name="Comma 4 2 4 4 4" xfId="9664" xr:uid="{48088AF4-88DA-4DBE-99CA-3F6EDB04277A}"/>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14FB2D50-2D7F-4F56-A19D-B958B256F08B}"/>
    <cellStyle name="Comma 4 2 4 5 2 3" xfId="12222" xr:uid="{EE780A14-10BA-446C-A99A-C1BDB24E990D}"/>
    <cellStyle name="Comma 4 2 4 5 3" xfId="5853" xr:uid="{00000000-0005-0000-0000-0000D8080000}"/>
    <cellStyle name="Comma 4 2 4 5 3 2" xfId="14295" xr:uid="{D9C62442-9032-48DF-800B-0D8D52C63764}"/>
    <cellStyle name="Comma 4 2 4 5 4" xfId="10077" xr:uid="{438B0AEF-9101-4A8C-9514-CB4434D01E5A}"/>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C43AE506-2BDB-4AA6-98D3-C0BD42989C0F}"/>
    <cellStyle name="Comma 4 2 4 6 2 3" xfId="12635" xr:uid="{ECBF8B1D-77F6-4FD8-8A25-1D91AECA6BAF}"/>
    <cellStyle name="Comma 4 2 4 6 3" xfId="6266" xr:uid="{00000000-0005-0000-0000-0000DC080000}"/>
    <cellStyle name="Comma 4 2 4 6 3 2" xfId="14708" xr:uid="{0FE81666-7225-41BE-8570-CF0521FF8904}"/>
    <cellStyle name="Comma 4 2 4 6 4" xfId="10490" xr:uid="{91E52EAB-45EC-41A3-BB80-AC06F6486364}"/>
    <cellStyle name="Comma 4 2 4 7" xfId="2394" xr:uid="{00000000-0005-0000-0000-0000DD080000}"/>
    <cellStyle name="Comma 4 2 4 7 2" xfId="6679" xr:uid="{00000000-0005-0000-0000-0000DE080000}"/>
    <cellStyle name="Comma 4 2 4 7 2 2" xfId="15121" xr:uid="{EBEB767D-14AC-4DFF-8C20-D4E7C6522B15}"/>
    <cellStyle name="Comma 4 2 4 7 3" xfId="10903" xr:uid="{5B858DE7-DE92-44E8-A5F0-463BE5D839A1}"/>
    <cellStyle name="Comma 4 2 4 8" xfId="2369" xr:uid="{00000000-0005-0000-0000-0000DF080000}"/>
    <cellStyle name="Comma 4 2 4 9" xfId="2772" xr:uid="{00000000-0005-0000-0000-0000E0080000}"/>
    <cellStyle name="Comma 4 2 4 9 2" xfId="6996" xr:uid="{00000000-0005-0000-0000-0000E1080000}"/>
    <cellStyle name="Comma 4 2 4 9 2 2" xfId="15438" xr:uid="{FA177250-FE12-4344-8B9F-CCB438F9922C}"/>
    <cellStyle name="Comma 4 2 4 9 3" xfId="11220" xr:uid="{11282E3C-4719-450B-940A-05530E2D3984}"/>
    <cellStyle name="Comma 4 2 5" xfId="142" xr:uid="{00000000-0005-0000-0000-0000E2080000}"/>
    <cellStyle name="Comma 4 2 5 10" xfId="8839" xr:uid="{CECDA441-E992-4817-9079-FADD3013C1E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A26AACD2-3EAE-4596-96BB-2D49451B0034}"/>
    <cellStyle name="Comma 4 2 5 2 2 3" xfId="11398" xr:uid="{DCB0AE95-EE65-4A39-9ECD-C69EE962AC84}"/>
    <cellStyle name="Comma 4 2 5 2 3" xfId="5029" xr:uid="{00000000-0005-0000-0000-0000E6080000}"/>
    <cellStyle name="Comma 4 2 5 2 3 2" xfId="13471" xr:uid="{F20E0E92-DF24-489E-9881-5B73B5638D51}"/>
    <cellStyle name="Comma 4 2 5 2 4" xfId="9253" xr:uid="{C4B2BB26-EBF7-4A8B-AFC0-987A39B9CF3B}"/>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FA66B4A5-2210-4CE1-9369-B19B8C5B2716}"/>
    <cellStyle name="Comma 4 2 5 3 2 3" xfId="11811" xr:uid="{EDB01BB0-9FB8-4E49-A2C2-EB99F7F6CF45}"/>
    <cellStyle name="Comma 4 2 5 3 3" xfId="5442" xr:uid="{00000000-0005-0000-0000-0000EA080000}"/>
    <cellStyle name="Comma 4 2 5 3 3 2" xfId="13884" xr:uid="{45943B1B-29CC-4D39-9D65-6CC4FE7BAF2E}"/>
    <cellStyle name="Comma 4 2 5 3 4" xfId="9666" xr:uid="{8EE2663C-4DA3-4B76-930E-BBBE4DC05102}"/>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40B5A288-7F0F-43B1-92C0-666718A09687}"/>
    <cellStyle name="Comma 4 2 5 4 2 3" xfId="12224" xr:uid="{0BC2EE66-C971-46B0-A19E-6BE62EF5E0B4}"/>
    <cellStyle name="Comma 4 2 5 4 3" xfId="5855" xr:uid="{00000000-0005-0000-0000-0000EE080000}"/>
    <cellStyle name="Comma 4 2 5 4 3 2" xfId="14297" xr:uid="{3DC2740D-1555-4D54-A0EB-9B9530DEB09B}"/>
    <cellStyle name="Comma 4 2 5 4 4" xfId="10079" xr:uid="{B075DEB1-24E9-4978-8E6C-B61E38A8B8A4}"/>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71C44766-65C6-4137-9AA3-80108218DB8C}"/>
    <cellStyle name="Comma 4 2 5 5 2 3" xfId="12637" xr:uid="{A5943582-9CE0-42A6-9339-6A836B000413}"/>
    <cellStyle name="Comma 4 2 5 5 3" xfId="6268" xr:uid="{00000000-0005-0000-0000-0000F2080000}"/>
    <cellStyle name="Comma 4 2 5 5 3 2" xfId="14710" xr:uid="{F9141662-6733-43EF-A224-7BCD834526DC}"/>
    <cellStyle name="Comma 4 2 5 5 4" xfId="10492" xr:uid="{F2CBE6A5-75F7-4818-A29A-0B3C72B6A14C}"/>
    <cellStyle name="Comma 4 2 5 6" xfId="2396" xr:uid="{00000000-0005-0000-0000-0000F3080000}"/>
    <cellStyle name="Comma 4 2 5 6 2" xfId="6681" xr:uid="{00000000-0005-0000-0000-0000F4080000}"/>
    <cellStyle name="Comma 4 2 5 6 2 2" xfId="15123" xr:uid="{666726B4-CE08-4C9E-AB88-1D1CA66F1A13}"/>
    <cellStyle name="Comma 4 2 5 6 3" xfId="10905" xr:uid="{2C7D9B89-E084-4E71-BA2D-BA088F4891A2}"/>
    <cellStyle name="Comma 4 2 5 7" xfId="2367" xr:uid="{00000000-0005-0000-0000-0000F5080000}"/>
    <cellStyle name="Comma 4 2 5 8" xfId="2774" xr:uid="{00000000-0005-0000-0000-0000F6080000}"/>
    <cellStyle name="Comma 4 2 5 8 2" xfId="6998" xr:uid="{00000000-0005-0000-0000-0000F7080000}"/>
    <cellStyle name="Comma 4 2 5 8 2 2" xfId="15440" xr:uid="{A8781FF9-75D6-49D4-97A3-150BFEAC98A0}"/>
    <cellStyle name="Comma 4 2 5 8 3" xfId="11222" xr:uid="{071D292F-4D42-4DE3-8A52-3577A97F052E}"/>
    <cellStyle name="Comma 4 2 5 9" xfId="4615" xr:uid="{00000000-0005-0000-0000-0000F8080000}"/>
    <cellStyle name="Comma 4 2 5 9 2" xfId="13057" xr:uid="{45C9096D-8BF0-43D9-8D93-B2AA1C54C0EB}"/>
    <cellStyle name="Comma 4 2 6" xfId="143" xr:uid="{00000000-0005-0000-0000-0000F9080000}"/>
    <cellStyle name="Comma 4 2 6 10" xfId="8840" xr:uid="{8124EEDB-F4B7-4F51-8F09-B17DDD2A2C0C}"/>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A0732373-82B0-4992-BDAD-3A1B7C8A7CA4}"/>
    <cellStyle name="Comma 4 2 6 2 2 3" xfId="11399" xr:uid="{0B1B5277-D8BE-48B8-8D04-0D4A9D92D59D}"/>
    <cellStyle name="Comma 4 2 6 2 3" xfId="5030" xr:uid="{00000000-0005-0000-0000-0000FD080000}"/>
    <cellStyle name="Comma 4 2 6 2 3 2" xfId="13472" xr:uid="{32BE3F77-14D3-44F3-BCF7-D101EF4CACAD}"/>
    <cellStyle name="Comma 4 2 6 2 4" xfId="9254" xr:uid="{8D3930C9-CFD5-4E57-B84D-CC4BB6594A3C}"/>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7DB0D550-7F60-43F7-9060-220BFD3F2F0E}"/>
    <cellStyle name="Comma 4 2 6 3 2 3" xfId="11812" xr:uid="{80A53870-8FEB-46AB-9DEC-B9D2BCA65777}"/>
    <cellStyle name="Comma 4 2 6 3 3" xfId="5443" xr:uid="{00000000-0005-0000-0000-000001090000}"/>
    <cellStyle name="Comma 4 2 6 3 3 2" xfId="13885" xr:uid="{8508D312-BA3B-4D80-9C4F-4C2E744F8034}"/>
    <cellStyle name="Comma 4 2 6 3 4" xfId="9667" xr:uid="{20E7C589-FC88-4B39-809D-1A710DBFE427}"/>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393BABDC-4BB7-47BA-AD9F-53AD29D82EF3}"/>
    <cellStyle name="Comma 4 2 6 4 2 3" xfId="12225" xr:uid="{B46859E7-EB87-4E32-BBDC-C68361BA171C}"/>
    <cellStyle name="Comma 4 2 6 4 3" xfId="5856" xr:uid="{00000000-0005-0000-0000-000005090000}"/>
    <cellStyle name="Comma 4 2 6 4 3 2" xfId="14298" xr:uid="{C9DC894D-DD62-44D7-B622-04F6E9D9269E}"/>
    <cellStyle name="Comma 4 2 6 4 4" xfId="10080" xr:uid="{42FFB62B-4550-4539-8229-42D5FA796AC8}"/>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B7F43036-E8C0-45DB-BCA2-FB9C3D7244B3}"/>
    <cellStyle name="Comma 4 2 6 5 2 3" xfId="12638" xr:uid="{0F3522B0-7FBB-463A-A445-E08B36E5CC5A}"/>
    <cellStyle name="Comma 4 2 6 5 3" xfId="6269" xr:uid="{00000000-0005-0000-0000-000009090000}"/>
    <cellStyle name="Comma 4 2 6 5 3 2" xfId="14711" xr:uid="{3A53F5A5-C16D-4E59-9D5C-6E01FD921F1F}"/>
    <cellStyle name="Comma 4 2 6 5 4" xfId="10493" xr:uid="{927972FD-3D31-44CF-85D5-0434338F8038}"/>
    <cellStyle name="Comma 4 2 6 6" xfId="2397" xr:uid="{00000000-0005-0000-0000-00000A090000}"/>
    <cellStyle name="Comma 4 2 6 6 2" xfId="6682" xr:uid="{00000000-0005-0000-0000-00000B090000}"/>
    <cellStyle name="Comma 4 2 6 6 2 2" xfId="15124" xr:uid="{664563F4-BCF0-4F9B-ACA7-D479C4C033F1}"/>
    <cellStyle name="Comma 4 2 6 6 3" xfId="10906" xr:uid="{302BFB9D-0EFC-4E71-9A29-373E6B847814}"/>
    <cellStyle name="Comma 4 2 6 7" xfId="2366" xr:uid="{00000000-0005-0000-0000-00000C090000}"/>
    <cellStyle name="Comma 4 2 6 8" xfId="2775" xr:uid="{00000000-0005-0000-0000-00000D090000}"/>
    <cellStyle name="Comma 4 2 6 8 2" xfId="6999" xr:uid="{00000000-0005-0000-0000-00000E090000}"/>
    <cellStyle name="Comma 4 2 6 8 2 2" xfId="15441" xr:uid="{5BBA1BEB-FC45-466B-B301-78A87E8DE245}"/>
    <cellStyle name="Comma 4 2 6 8 3" xfId="11223" xr:uid="{A7773A14-E697-4DE9-B1F1-4E934539E8DB}"/>
    <cellStyle name="Comma 4 2 6 9" xfId="4616" xr:uid="{00000000-0005-0000-0000-00000F090000}"/>
    <cellStyle name="Comma 4 2 6 9 2" xfId="13058" xr:uid="{74D5550D-BC36-42AC-AB5A-750A743A2E9A}"/>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E767AC9A-5CA4-4BD6-A83E-CDCBFCF8A919}"/>
    <cellStyle name="Comma 4 3 2 10 3" xfId="11224" xr:uid="{A38A4E54-05E0-432E-9ABF-22C9B4DA8563}"/>
    <cellStyle name="Comma 4 3 2 11" xfId="4617" xr:uid="{00000000-0005-0000-0000-000014090000}"/>
    <cellStyle name="Comma 4 3 2 11 2" xfId="13059" xr:uid="{EB35F97D-A9E4-4699-A9EE-AD91593240B2}"/>
    <cellStyle name="Comma 4 3 2 12" xfId="8841" xr:uid="{374B1D9E-C7CB-48C3-8761-81A679965EE2}"/>
    <cellStyle name="Comma 4 3 2 2" xfId="146" xr:uid="{00000000-0005-0000-0000-000015090000}"/>
    <cellStyle name="Comma 4 3 2 2 10" xfId="4618" xr:uid="{00000000-0005-0000-0000-000016090000}"/>
    <cellStyle name="Comma 4 3 2 2 10 2" xfId="13060" xr:uid="{0CCAD49B-9029-4DB9-80E9-A051E1194398}"/>
    <cellStyle name="Comma 4 3 2 2 11" xfId="8842" xr:uid="{EE7A6DD3-340C-4CA6-8E4D-2D89C01C49C9}"/>
    <cellStyle name="Comma 4 3 2 2 2" xfId="147" xr:uid="{00000000-0005-0000-0000-000017090000}"/>
    <cellStyle name="Comma 4 3 2 2 2 10" xfId="8843" xr:uid="{181955C6-187D-4871-822A-205FD4F1E0DE}"/>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2A8EF3D7-85C2-44C0-A457-0C24F3A52319}"/>
    <cellStyle name="Comma 4 3 2 2 2 2 2 3" xfId="11402" xr:uid="{73E4D738-72EB-4606-AF65-DE67E365B222}"/>
    <cellStyle name="Comma 4 3 2 2 2 2 3" xfId="5033" xr:uid="{00000000-0005-0000-0000-00001B090000}"/>
    <cellStyle name="Comma 4 3 2 2 2 2 3 2" xfId="13475" xr:uid="{88041548-1219-4C77-A601-480673FE6C3D}"/>
    <cellStyle name="Comma 4 3 2 2 2 2 4" xfId="9257" xr:uid="{26C387B1-5236-40C4-B869-0B4FC708D06C}"/>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5AB7281A-1EDF-41DA-BC9E-5DE8EF556CA9}"/>
    <cellStyle name="Comma 4 3 2 2 2 3 2 3" xfId="11815" xr:uid="{1171C3EB-10A9-49A3-AA27-C590E6FB508F}"/>
    <cellStyle name="Comma 4 3 2 2 2 3 3" xfId="5446" xr:uid="{00000000-0005-0000-0000-00001F090000}"/>
    <cellStyle name="Comma 4 3 2 2 2 3 3 2" xfId="13888" xr:uid="{CA17E579-CE74-4F9F-AA1F-0F3B83F7BB36}"/>
    <cellStyle name="Comma 4 3 2 2 2 3 4" xfId="9670" xr:uid="{803B8446-04B3-47AC-97AD-8B120CA7C4D2}"/>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214928AA-8123-47B1-B055-4325256B7326}"/>
    <cellStyle name="Comma 4 3 2 2 2 4 2 3" xfId="12228" xr:uid="{CAC53C53-D4B2-4F39-9C6D-7E345ACD57A2}"/>
    <cellStyle name="Comma 4 3 2 2 2 4 3" xfId="5859" xr:uid="{00000000-0005-0000-0000-000023090000}"/>
    <cellStyle name="Comma 4 3 2 2 2 4 3 2" xfId="14301" xr:uid="{C8832BEF-84EE-4A88-BE68-2751146F46D4}"/>
    <cellStyle name="Comma 4 3 2 2 2 4 4" xfId="10083" xr:uid="{8CD70CF0-0167-4A18-8698-34350CAFF15D}"/>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D75CB5A3-B16E-457B-A55F-64AA6A213C4B}"/>
    <cellStyle name="Comma 4 3 2 2 2 5 2 3" xfId="12641" xr:uid="{15CE935E-50E7-4421-B250-03E97C3307EB}"/>
    <cellStyle name="Comma 4 3 2 2 2 5 3" xfId="6272" xr:uid="{00000000-0005-0000-0000-000027090000}"/>
    <cellStyle name="Comma 4 3 2 2 2 5 3 2" xfId="14714" xr:uid="{DD5B2A9B-8E1E-47AF-9B39-08FD67170AC7}"/>
    <cellStyle name="Comma 4 3 2 2 2 5 4" xfId="10496" xr:uid="{2E33CF0C-2959-4DB0-B96E-782BD832F5A6}"/>
    <cellStyle name="Comma 4 3 2 2 2 6" xfId="2400" xr:uid="{00000000-0005-0000-0000-000028090000}"/>
    <cellStyle name="Comma 4 3 2 2 2 6 2" xfId="6685" xr:uid="{00000000-0005-0000-0000-000029090000}"/>
    <cellStyle name="Comma 4 3 2 2 2 6 2 2" xfId="15127" xr:uid="{2A7A4331-A66A-4E16-BA68-442BA1F2BD76}"/>
    <cellStyle name="Comma 4 3 2 2 2 6 3" xfId="10909" xr:uid="{B163C4F6-8F2E-484A-8C4B-D6229EEEF546}"/>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CDE8A210-81C1-40B2-AAF8-37E5289DD605}"/>
    <cellStyle name="Comma 4 3 2 2 2 8 3" xfId="11226" xr:uid="{80297ED6-5E2E-4986-A4A0-404B6C8CE2DE}"/>
    <cellStyle name="Comma 4 3 2 2 2 9" xfId="4619" xr:uid="{00000000-0005-0000-0000-00002D090000}"/>
    <cellStyle name="Comma 4 3 2 2 2 9 2" xfId="13061" xr:uid="{F2C6EC76-C428-4D11-A86F-206CDFB6F604}"/>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38BACB35-1FD2-41D4-B833-6EF0AF022286}"/>
    <cellStyle name="Comma 4 3 2 2 3 2 3" xfId="11401" xr:uid="{9DDAA0B2-15AC-4E3F-8C8B-7544F570F6D5}"/>
    <cellStyle name="Comma 4 3 2 2 3 3" xfId="5032" xr:uid="{00000000-0005-0000-0000-000031090000}"/>
    <cellStyle name="Comma 4 3 2 2 3 3 2" xfId="13474" xr:uid="{C86B1BDE-99D8-42F1-BBA7-57EF490C6628}"/>
    <cellStyle name="Comma 4 3 2 2 3 4" xfId="9256" xr:uid="{D93D95CB-3959-4222-8139-BFE2621A0B84}"/>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16268DAF-61C9-46C8-9064-097846511524}"/>
    <cellStyle name="Comma 4 3 2 2 4 2 3" xfId="11814" xr:uid="{4146EFFC-B8A9-4032-A029-0CC1AB4825E1}"/>
    <cellStyle name="Comma 4 3 2 2 4 3" xfId="5445" xr:uid="{00000000-0005-0000-0000-000035090000}"/>
    <cellStyle name="Comma 4 3 2 2 4 3 2" xfId="13887" xr:uid="{579B4527-ACAC-4AFD-862D-3FAFF376E9B1}"/>
    <cellStyle name="Comma 4 3 2 2 4 4" xfId="9669" xr:uid="{84BE46C3-31FC-4155-AE19-AAAE7E126D04}"/>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312E22DA-BE9F-4A0C-9F98-4A2CE3D7943C}"/>
    <cellStyle name="Comma 4 3 2 2 5 2 3" xfId="12227" xr:uid="{26EC9E1E-A478-406D-BCFB-0A7E9235CB9B}"/>
    <cellStyle name="Comma 4 3 2 2 5 3" xfId="5858" xr:uid="{00000000-0005-0000-0000-000039090000}"/>
    <cellStyle name="Comma 4 3 2 2 5 3 2" xfId="14300" xr:uid="{A820111A-93FC-40AB-A9DA-E7FF6BE96184}"/>
    <cellStyle name="Comma 4 3 2 2 5 4" xfId="10082" xr:uid="{CBD04C82-414E-440C-A112-8802323C9AF8}"/>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028A5923-F98D-4C37-BA1F-898C6C2B212F}"/>
    <cellStyle name="Comma 4 3 2 2 6 2 3" xfId="12640" xr:uid="{F3D5499C-72A6-449A-8FF0-C3ECB3539CBD}"/>
    <cellStyle name="Comma 4 3 2 2 6 3" xfId="6271" xr:uid="{00000000-0005-0000-0000-00003D090000}"/>
    <cellStyle name="Comma 4 3 2 2 6 3 2" xfId="14713" xr:uid="{092611B9-05E1-41D0-9697-973D401A2E70}"/>
    <cellStyle name="Comma 4 3 2 2 6 4" xfId="10495" xr:uid="{DC186976-C94F-4A4D-9E94-DD1A62441B94}"/>
    <cellStyle name="Comma 4 3 2 2 7" xfId="2399" xr:uid="{00000000-0005-0000-0000-00003E090000}"/>
    <cellStyle name="Comma 4 3 2 2 7 2" xfId="6684" xr:uid="{00000000-0005-0000-0000-00003F090000}"/>
    <cellStyle name="Comma 4 3 2 2 7 2 2" xfId="15126" xr:uid="{6A595218-4D30-4549-91AD-D9EDE74D1C75}"/>
    <cellStyle name="Comma 4 3 2 2 7 3" xfId="10908" xr:uid="{AD7AAE79-7225-408F-A2BC-6C5B1C919544}"/>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4590CB80-53A3-4534-8290-BA1D5E315D46}"/>
    <cellStyle name="Comma 4 3 2 2 9 3" xfId="11225" xr:uid="{3749B713-A4A6-49B7-A586-CE1F39F68570}"/>
    <cellStyle name="Comma 4 3 2 3" xfId="148" xr:uid="{00000000-0005-0000-0000-000043090000}"/>
    <cellStyle name="Comma 4 3 2 3 10" xfId="8844" xr:uid="{7DAECCA3-EB02-4E8B-BD0B-B96205828DD7}"/>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8C73C915-25F3-4989-8E4E-974F7B61AEC8}"/>
    <cellStyle name="Comma 4 3 2 3 2 2 3" xfId="11403" xr:uid="{73531C0A-55DB-48DB-8BFD-3A4E82FDBD9B}"/>
    <cellStyle name="Comma 4 3 2 3 2 3" xfId="5034" xr:uid="{00000000-0005-0000-0000-000047090000}"/>
    <cellStyle name="Comma 4 3 2 3 2 3 2" xfId="13476" xr:uid="{9C75F68F-F35A-43AF-81A5-520828D32D6E}"/>
    <cellStyle name="Comma 4 3 2 3 2 4" xfId="9258" xr:uid="{99F4D435-798A-469F-9959-8FB1B47B702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EE92AC52-CD69-49D7-80C1-9FE02F855534}"/>
    <cellStyle name="Comma 4 3 2 3 3 2 3" xfId="11816" xr:uid="{DC6F7284-60A7-42BC-B2AB-F8E476A658F9}"/>
    <cellStyle name="Comma 4 3 2 3 3 3" xfId="5447" xr:uid="{00000000-0005-0000-0000-00004B090000}"/>
    <cellStyle name="Comma 4 3 2 3 3 3 2" xfId="13889" xr:uid="{0634C39A-872F-4330-B992-AFD61A122167}"/>
    <cellStyle name="Comma 4 3 2 3 3 4" xfId="9671" xr:uid="{612E57C2-2053-4E32-96E5-11E0B1CE305F}"/>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48D3261F-6FCD-41D8-9A7E-1814C0F2A937}"/>
    <cellStyle name="Comma 4 3 2 3 4 2 3" xfId="12229" xr:uid="{3B276F5B-5A78-4C9F-B995-987884C26C8D}"/>
    <cellStyle name="Comma 4 3 2 3 4 3" xfId="5860" xr:uid="{00000000-0005-0000-0000-00004F090000}"/>
    <cellStyle name="Comma 4 3 2 3 4 3 2" xfId="14302" xr:uid="{1B8E07B7-E0DA-4696-A49B-3CCF5FFD69C2}"/>
    <cellStyle name="Comma 4 3 2 3 4 4" xfId="10084" xr:uid="{6627378D-2CB1-4904-BB04-6310DC9D9232}"/>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C60CED6C-AF46-436B-8D00-D174875CFA90}"/>
    <cellStyle name="Comma 4 3 2 3 5 2 3" xfId="12642" xr:uid="{DE642921-9EFD-4E84-92B6-C3045DC94E0F}"/>
    <cellStyle name="Comma 4 3 2 3 5 3" xfId="6273" xr:uid="{00000000-0005-0000-0000-000053090000}"/>
    <cellStyle name="Comma 4 3 2 3 5 3 2" xfId="14715" xr:uid="{61B13FCC-F9A8-4C04-B947-21AF0DE4D9F8}"/>
    <cellStyle name="Comma 4 3 2 3 5 4" xfId="10497" xr:uid="{311280BC-FB1E-4013-BF43-04F56CF55CCE}"/>
    <cellStyle name="Comma 4 3 2 3 6" xfId="2401" xr:uid="{00000000-0005-0000-0000-000054090000}"/>
    <cellStyle name="Comma 4 3 2 3 6 2" xfId="6686" xr:uid="{00000000-0005-0000-0000-000055090000}"/>
    <cellStyle name="Comma 4 3 2 3 6 2 2" xfId="15128" xr:uid="{BF500973-86D6-4055-9F86-51195357B51D}"/>
    <cellStyle name="Comma 4 3 2 3 6 3" xfId="10910" xr:uid="{E5B04548-8905-4F36-A245-FD3475980490}"/>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4113739-9F95-4A13-8482-D875D7FFD9AC}"/>
    <cellStyle name="Comma 4 3 2 3 8 3" xfId="11227" xr:uid="{17C7E7D0-901D-4262-B8D1-D62D7092DC09}"/>
    <cellStyle name="Comma 4 3 2 3 9" xfId="4620" xr:uid="{00000000-0005-0000-0000-000059090000}"/>
    <cellStyle name="Comma 4 3 2 3 9 2" xfId="13062" xr:uid="{7EE413F4-90A5-4705-9052-BD0142FF1E2F}"/>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2C36F4B4-B76A-437B-B605-9C62A6475C9E}"/>
    <cellStyle name="Comma 4 3 2 4 2 3" xfId="11400" xr:uid="{4FB66BA4-737C-4818-8C7F-F8C28CA139A0}"/>
    <cellStyle name="Comma 4 3 2 4 3" xfId="5031" xr:uid="{00000000-0005-0000-0000-00005D090000}"/>
    <cellStyle name="Comma 4 3 2 4 3 2" xfId="13473" xr:uid="{2CFB4166-8D39-4D13-80D8-3DB506317B28}"/>
    <cellStyle name="Comma 4 3 2 4 4" xfId="9255" xr:uid="{943600FF-7CD1-443F-8234-D3AC849E8D7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6E267CFA-341A-486A-89B2-E1A36D24323D}"/>
    <cellStyle name="Comma 4 3 2 5 2 3" xfId="11813" xr:uid="{B997244C-CE89-4CA0-96F6-618123938508}"/>
    <cellStyle name="Comma 4 3 2 5 3" xfId="5444" xr:uid="{00000000-0005-0000-0000-000061090000}"/>
    <cellStyle name="Comma 4 3 2 5 3 2" xfId="13886" xr:uid="{F6832409-D177-4D54-8492-0041E5983C99}"/>
    <cellStyle name="Comma 4 3 2 5 4" xfId="9668" xr:uid="{936C5D41-6E35-44FB-8514-71171DAF15EC}"/>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E3D799FA-2FFB-4CC4-82AB-9E82C1EC0320}"/>
    <cellStyle name="Comma 4 3 2 6 2 3" xfId="12226" xr:uid="{15B94015-9A3B-4D6B-BD3F-104524C33956}"/>
    <cellStyle name="Comma 4 3 2 6 3" xfId="5857" xr:uid="{00000000-0005-0000-0000-000065090000}"/>
    <cellStyle name="Comma 4 3 2 6 3 2" xfId="14299" xr:uid="{F098CE93-BCD6-414F-9465-8BEB5AD05FE8}"/>
    <cellStyle name="Comma 4 3 2 6 4" xfId="10081" xr:uid="{11B2111A-E818-46C0-88DD-A725AC19CBA7}"/>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1A37CB9A-8054-47E9-BBC6-EB4C77EAD674}"/>
    <cellStyle name="Comma 4 3 2 7 2 3" xfId="12639" xr:uid="{3C1C94FB-2048-41AE-87A7-D925E986CA57}"/>
    <cellStyle name="Comma 4 3 2 7 3" xfId="6270" xr:uid="{00000000-0005-0000-0000-000069090000}"/>
    <cellStyle name="Comma 4 3 2 7 3 2" xfId="14712" xr:uid="{ECEF27B4-83D8-4D48-9810-3099B719524B}"/>
    <cellStyle name="Comma 4 3 2 7 4" xfId="10494" xr:uid="{D749FA8A-AC9B-40D6-A01F-DB91E553CC7A}"/>
    <cellStyle name="Comma 4 3 2 8" xfId="2398" xr:uid="{00000000-0005-0000-0000-00006A090000}"/>
    <cellStyle name="Comma 4 3 2 8 2" xfId="6683" xr:uid="{00000000-0005-0000-0000-00006B090000}"/>
    <cellStyle name="Comma 4 3 2 8 2 2" xfId="15125" xr:uid="{41B46ED0-621A-4BC6-A63C-2701187D04B0}"/>
    <cellStyle name="Comma 4 3 2 8 3" xfId="10907" xr:uid="{14B28FB3-4739-4E09-B5B4-43EB2FA0232E}"/>
    <cellStyle name="Comma 4 3 2 9" xfId="2365" xr:uid="{00000000-0005-0000-0000-00006C090000}"/>
    <cellStyle name="Comma 4 3 3" xfId="149" xr:uid="{00000000-0005-0000-0000-00006D090000}"/>
    <cellStyle name="Comma 4 3 3 10" xfId="4621" xr:uid="{00000000-0005-0000-0000-00006E090000}"/>
    <cellStyle name="Comma 4 3 3 10 2" xfId="13063" xr:uid="{021305F9-3863-4FD4-861B-04F03E8D5765}"/>
    <cellStyle name="Comma 4 3 3 11" xfId="8845" xr:uid="{7237DC9B-3B81-4F67-A206-504386C91B6E}"/>
    <cellStyle name="Comma 4 3 3 2" xfId="150" xr:uid="{00000000-0005-0000-0000-00006F090000}"/>
    <cellStyle name="Comma 4 3 3 2 10" xfId="8846" xr:uid="{92E9D5B6-0A98-4FFE-9887-9D02A52B8739}"/>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18BD1F6B-6A5D-45F1-85E5-0709B705D32E}"/>
    <cellStyle name="Comma 4 3 3 2 2 2 3" xfId="11405" xr:uid="{706FC14B-7655-4CCA-A6B3-2ADA945387A1}"/>
    <cellStyle name="Comma 4 3 3 2 2 3" xfId="5036" xr:uid="{00000000-0005-0000-0000-000073090000}"/>
    <cellStyle name="Comma 4 3 3 2 2 3 2" xfId="13478" xr:uid="{8233F3CE-8164-446F-9383-810095CBF2C0}"/>
    <cellStyle name="Comma 4 3 3 2 2 4" xfId="9260" xr:uid="{84EE9BDD-9590-45E7-A9BE-E70D8D176757}"/>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A4559762-3A4B-4A93-A2DB-59BE58250763}"/>
    <cellStyle name="Comma 4 3 3 2 3 2 3" xfId="11818" xr:uid="{989B06B2-F151-4AE9-AD9A-C0CCDCEA1D6C}"/>
    <cellStyle name="Comma 4 3 3 2 3 3" xfId="5449" xr:uid="{00000000-0005-0000-0000-000077090000}"/>
    <cellStyle name="Comma 4 3 3 2 3 3 2" xfId="13891" xr:uid="{751795B7-CC52-498B-B48B-B6C70014D07C}"/>
    <cellStyle name="Comma 4 3 3 2 3 4" xfId="9673" xr:uid="{D7CD8E24-4529-4E2B-84EE-6BB256EB426A}"/>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5B6FA8BF-B67A-4641-9F39-6AA084977561}"/>
    <cellStyle name="Comma 4 3 3 2 4 2 3" xfId="12231" xr:uid="{8EAB55C5-9198-42EB-A191-234C050EA707}"/>
    <cellStyle name="Comma 4 3 3 2 4 3" xfId="5862" xr:uid="{00000000-0005-0000-0000-00007B090000}"/>
    <cellStyle name="Comma 4 3 3 2 4 3 2" xfId="14304" xr:uid="{D6C9573C-9C0D-43E9-9E40-7759ECEE417A}"/>
    <cellStyle name="Comma 4 3 3 2 4 4" xfId="10086" xr:uid="{32EB7F93-D964-4B92-BAE4-D01DDD555BF1}"/>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A8CF3CB4-922E-4FDF-B1AF-2451F8E76EA3}"/>
    <cellStyle name="Comma 4 3 3 2 5 2 3" xfId="12644" xr:uid="{10A1C79E-3BBB-42EB-ABB0-04CD11F54FB3}"/>
    <cellStyle name="Comma 4 3 3 2 5 3" xfId="6275" xr:uid="{00000000-0005-0000-0000-00007F090000}"/>
    <cellStyle name="Comma 4 3 3 2 5 3 2" xfId="14717" xr:uid="{5677645F-15E2-4FEA-B9EE-37C0F6C54ECD}"/>
    <cellStyle name="Comma 4 3 3 2 5 4" xfId="10499" xr:uid="{A1F4F314-1F22-43CE-8726-46C11A2635A2}"/>
    <cellStyle name="Comma 4 3 3 2 6" xfId="2403" xr:uid="{00000000-0005-0000-0000-000080090000}"/>
    <cellStyle name="Comma 4 3 3 2 6 2" xfId="6688" xr:uid="{00000000-0005-0000-0000-000081090000}"/>
    <cellStyle name="Comma 4 3 3 2 6 2 2" xfId="15130" xr:uid="{6C20D0AA-FE0A-4730-8AC3-60FB5F3258CA}"/>
    <cellStyle name="Comma 4 3 3 2 6 3" xfId="10912" xr:uid="{86179A7C-26D7-4F00-A6D2-A944AD66ED5C}"/>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5F9963CC-00CB-41FA-A874-686835EF6B0C}"/>
    <cellStyle name="Comma 4 3 3 2 8 3" xfId="11229" xr:uid="{D4CB7EBC-372F-4604-BB45-0BF9241B1B50}"/>
    <cellStyle name="Comma 4 3 3 2 9" xfId="4622" xr:uid="{00000000-0005-0000-0000-000085090000}"/>
    <cellStyle name="Comma 4 3 3 2 9 2" xfId="13064" xr:uid="{B04A4B01-4F3D-47A6-BC35-67368ABEB116}"/>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1C346C87-9244-482F-B40D-D19016588873}"/>
    <cellStyle name="Comma 4 3 3 3 2 3" xfId="11404" xr:uid="{215278CE-E7ED-45A9-AD5C-37546773B143}"/>
    <cellStyle name="Comma 4 3 3 3 3" xfId="5035" xr:uid="{00000000-0005-0000-0000-000089090000}"/>
    <cellStyle name="Comma 4 3 3 3 3 2" xfId="13477" xr:uid="{640100D8-1555-4A51-95E2-B058AB18F21C}"/>
    <cellStyle name="Comma 4 3 3 3 4" xfId="9259" xr:uid="{32449335-3B35-4E85-A3AF-C1814036FEE4}"/>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EB6D4A90-5E03-485F-B2B8-A80D999ADEC5}"/>
    <cellStyle name="Comma 4 3 3 4 2 3" xfId="11817" xr:uid="{7FF32837-0F43-422A-83DC-691BEF221F78}"/>
    <cellStyle name="Comma 4 3 3 4 3" xfId="5448" xr:uid="{00000000-0005-0000-0000-00008D090000}"/>
    <cellStyle name="Comma 4 3 3 4 3 2" xfId="13890" xr:uid="{265F321D-A98C-43D3-AC76-916915480406}"/>
    <cellStyle name="Comma 4 3 3 4 4" xfId="9672" xr:uid="{1629F35B-F0BF-449D-8134-BC31B8B733CC}"/>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AD280ECF-9A5D-4391-ADD1-F1C361BFA812}"/>
    <cellStyle name="Comma 4 3 3 5 2 3" xfId="12230" xr:uid="{7422AF59-A24D-49FE-BEB0-D58F7274AD41}"/>
    <cellStyle name="Comma 4 3 3 5 3" xfId="5861" xr:uid="{00000000-0005-0000-0000-000091090000}"/>
    <cellStyle name="Comma 4 3 3 5 3 2" xfId="14303" xr:uid="{B3466446-CE21-49E0-B6A7-34CBF396A3CB}"/>
    <cellStyle name="Comma 4 3 3 5 4" xfId="10085" xr:uid="{8B3E4BD3-AEB2-4DFC-901A-66074965A2CC}"/>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E5AD92BA-C79D-49EA-AB47-2BE3BE506792}"/>
    <cellStyle name="Comma 4 3 3 6 2 3" xfId="12643" xr:uid="{5536C122-D858-4CCE-89BC-337135DBA98B}"/>
    <cellStyle name="Comma 4 3 3 6 3" xfId="6274" xr:uid="{00000000-0005-0000-0000-000095090000}"/>
    <cellStyle name="Comma 4 3 3 6 3 2" xfId="14716" xr:uid="{999275AB-E768-4E4F-B4BE-269592E9B0A5}"/>
    <cellStyle name="Comma 4 3 3 6 4" xfId="10498" xr:uid="{489FD08B-5042-4458-9CB4-A8E0DE28BEFA}"/>
    <cellStyle name="Comma 4 3 3 7" xfId="2402" xr:uid="{00000000-0005-0000-0000-000096090000}"/>
    <cellStyle name="Comma 4 3 3 7 2" xfId="6687" xr:uid="{00000000-0005-0000-0000-000097090000}"/>
    <cellStyle name="Comma 4 3 3 7 2 2" xfId="15129" xr:uid="{5564C39C-BBF0-416B-8FEA-79625E397D4A}"/>
    <cellStyle name="Comma 4 3 3 7 3" xfId="10911" xr:uid="{3B9CADD1-9049-4ACC-9945-79DCF02DD4F1}"/>
    <cellStyle name="Comma 4 3 3 8" xfId="2361" xr:uid="{00000000-0005-0000-0000-000098090000}"/>
    <cellStyle name="Comma 4 3 3 9" xfId="2780" xr:uid="{00000000-0005-0000-0000-000099090000}"/>
    <cellStyle name="Comma 4 3 3 9 2" xfId="7004" xr:uid="{00000000-0005-0000-0000-00009A090000}"/>
    <cellStyle name="Comma 4 3 3 9 2 2" xfId="15446" xr:uid="{B0D9C9D8-F626-4658-B024-7B5CD6CCDDE4}"/>
    <cellStyle name="Comma 4 3 3 9 3" xfId="11228" xr:uid="{E271217D-E652-47D2-8BBC-9421A3851BD2}"/>
    <cellStyle name="Comma 4 3 4" xfId="151" xr:uid="{00000000-0005-0000-0000-00009B090000}"/>
    <cellStyle name="Comma 4 3 4 10" xfId="8847" xr:uid="{A8E913B2-86B0-4B32-A047-F95BBFB594B1}"/>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15608EC0-3B15-41E7-AA5F-7731EDE02E82}"/>
    <cellStyle name="Comma 4 3 4 2 2 3" xfId="11406" xr:uid="{5C81B14A-C62D-4E9C-B178-4B629F4CBF0D}"/>
    <cellStyle name="Comma 4 3 4 2 3" xfId="5037" xr:uid="{00000000-0005-0000-0000-00009F090000}"/>
    <cellStyle name="Comma 4 3 4 2 3 2" xfId="13479" xr:uid="{6E9B45AD-E799-446F-843B-383A2F7540F8}"/>
    <cellStyle name="Comma 4 3 4 2 4" xfId="9261" xr:uid="{55DDD178-F840-4A60-889B-F168E601F7AF}"/>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945823E4-FD48-4613-B6FD-82019736850D}"/>
    <cellStyle name="Comma 4 3 4 3 2 3" xfId="11819" xr:uid="{0D8562BA-1CDC-4CD0-A103-7F60EC591BD8}"/>
    <cellStyle name="Comma 4 3 4 3 3" xfId="5450" xr:uid="{00000000-0005-0000-0000-0000A3090000}"/>
    <cellStyle name="Comma 4 3 4 3 3 2" xfId="13892" xr:uid="{FC718B51-CC74-40BD-98E3-83A2E95DC80D}"/>
    <cellStyle name="Comma 4 3 4 3 4" xfId="9674" xr:uid="{34464F5A-8B2F-4CD0-BC70-64E2CCC47B3F}"/>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D3EAF196-7778-455A-83BB-F9EC8AB84342}"/>
    <cellStyle name="Comma 4 3 4 4 2 3" xfId="12232" xr:uid="{5A4DB100-58E8-4176-A14C-39857D922FDF}"/>
    <cellStyle name="Comma 4 3 4 4 3" xfId="5863" xr:uid="{00000000-0005-0000-0000-0000A7090000}"/>
    <cellStyle name="Comma 4 3 4 4 3 2" xfId="14305" xr:uid="{AB7A7839-4721-4A0F-AD49-D6A0E23744FD}"/>
    <cellStyle name="Comma 4 3 4 4 4" xfId="10087" xr:uid="{49D32134-F74A-4CB9-A49F-CC16288481D0}"/>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D1918A6-A96A-48D2-AD55-C2D65736BB3B}"/>
    <cellStyle name="Comma 4 3 4 5 2 3" xfId="12645" xr:uid="{6DB190B7-50D3-4A2D-832D-BD96832E70CD}"/>
    <cellStyle name="Comma 4 3 4 5 3" xfId="6276" xr:uid="{00000000-0005-0000-0000-0000AB090000}"/>
    <cellStyle name="Comma 4 3 4 5 3 2" xfId="14718" xr:uid="{8D42D811-5B7B-4917-AD8C-20DD1CC36918}"/>
    <cellStyle name="Comma 4 3 4 5 4" xfId="10500" xr:uid="{FAA416A6-1262-4103-A513-87A88FA861B3}"/>
    <cellStyle name="Comma 4 3 4 6" xfId="2404" xr:uid="{00000000-0005-0000-0000-0000AC090000}"/>
    <cellStyle name="Comma 4 3 4 6 2" xfId="6689" xr:uid="{00000000-0005-0000-0000-0000AD090000}"/>
    <cellStyle name="Comma 4 3 4 6 2 2" xfId="15131" xr:uid="{3A09270C-FA37-4549-848B-542C51F31251}"/>
    <cellStyle name="Comma 4 3 4 6 3" xfId="10913" xr:uid="{1050074F-6F2B-4C75-9C34-B67B05C0B3AA}"/>
    <cellStyle name="Comma 4 3 4 7" xfId="2700" xr:uid="{00000000-0005-0000-0000-0000AE090000}"/>
    <cellStyle name="Comma 4 3 4 8" xfId="2782" xr:uid="{00000000-0005-0000-0000-0000AF090000}"/>
    <cellStyle name="Comma 4 3 4 8 2" xfId="7006" xr:uid="{00000000-0005-0000-0000-0000B0090000}"/>
    <cellStyle name="Comma 4 3 4 8 2 2" xfId="15448" xr:uid="{03FFACC4-3FD2-4762-96DE-FA87EAEBA89C}"/>
    <cellStyle name="Comma 4 3 4 8 3" xfId="11230" xr:uid="{DC1FF504-CA2E-41E9-A072-2B163984579C}"/>
    <cellStyle name="Comma 4 3 4 9" xfId="4623" xr:uid="{00000000-0005-0000-0000-0000B1090000}"/>
    <cellStyle name="Comma 4 3 4 9 2" xfId="13065" xr:uid="{85A28EBF-8BE2-42D1-9D29-1677FA0BDFAA}"/>
    <cellStyle name="Comma 4 3 5" xfId="152" xr:uid="{00000000-0005-0000-0000-0000B2090000}"/>
    <cellStyle name="Comma 4 3 5 10" xfId="8848" xr:uid="{3607369D-A8C1-42CE-9864-20649EBEBC11}"/>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DED31A2A-8355-4533-8B3A-87C22386DA28}"/>
    <cellStyle name="Comma 4 3 5 2 2 3" xfId="11407" xr:uid="{461B3E00-F039-4B50-836F-E68001F81FCE}"/>
    <cellStyle name="Comma 4 3 5 2 3" xfId="5038" xr:uid="{00000000-0005-0000-0000-0000B6090000}"/>
    <cellStyle name="Comma 4 3 5 2 3 2" xfId="13480" xr:uid="{F4D0DCA3-4937-4E97-9014-065538C9F884}"/>
    <cellStyle name="Comma 4 3 5 2 4" xfId="9262" xr:uid="{676ABA62-F047-4375-943E-0C273873D747}"/>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1418C452-B06F-490F-87AF-3A1CE9EA8BBC}"/>
    <cellStyle name="Comma 4 3 5 3 2 3" xfId="11820" xr:uid="{CED5AA8D-C648-4C12-B9AF-119128EDE840}"/>
    <cellStyle name="Comma 4 3 5 3 3" xfId="5451" xr:uid="{00000000-0005-0000-0000-0000BA090000}"/>
    <cellStyle name="Comma 4 3 5 3 3 2" xfId="13893" xr:uid="{FFF9E790-DD34-4B1E-9953-118E3B95D604}"/>
    <cellStyle name="Comma 4 3 5 3 4" xfId="9675" xr:uid="{FA605B86-561C-4274-B932-B864CA9499D9}"/>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111A53BA-1265-4E01-9B8A-2DE06C7881C7}"/>
    <cellStyle name="Comma 4 3 5 4 2 3" xfId="12233" xr:uid="{411D33D1-9342-4DE4-989A-79B2F75B31F6}"/>
    <cellStyle name="Comma 4 3 5 4 3" xfId="5864" xr:uid="{00000000-0005-0000-0000-0000BE090000}"/>
    <cellStyle name="Comma 4 3 5 4 3 2" xfId="14306" xr:uid="{048505CA-DCC6-43FD-9227-455D419188E4}"/>
    <cellStyle name="Comma 4 3 5 4 4" xfId="10088" xr:uid="{5DB755E9-31DA-486F-A979-1F1E3338D4A7}"/>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EAFC848D-CB8F-4660-8305-DB6BE436CDE5}"/>
    <cellStyle name="Comma 4 3 5 5 2 3" xfId="12646" xr:uid="{2B42C031-519F-4D35-9D20-A229300B6ABF}"/>
    <cellStyle name="Comma 4 3 5 5 3" xfId="6277" xr:uid="{00000000-0005-0000-0000-0000C2090000}"/>
    <cellStyle name="Comma 4 3 5 5 3 2" xfId="14719" xr:uid="{70AA7B0D-E59C-4443-B3FF-E9CD09157C3D}"/>
    <cellStyle name="Comma 4 3 5 5 4" xfId="10501" xr:uid="{600F793F-5A3E-4551-BC04-1C23BEB4CEAC}"/>
    <cellStyle name="Comma 4 3 5 6" xfId="2405" xr:uid="{00000000-0005-0000-0000-0000C3090000}"/>
    <cellStyle name="Comma 4 3 5 6 2" xfId="6690" xr:uid="{00000000-0005-0000-0000-0000C4090000}"/>
    <cellStyle name="Comma 4 3 5 6 2 2" xfId="15132" xr:uid="{8EFD0098-C176-4AAB-9DC5-A4E89EB28E38}"/>
    <cellStyle name="Comma 4 3 5 6 3" xfId="10914" xr:uid="{DA1F5E98-971F-4E43-A9A0-A9F731842275}"/>
    <cellStyle name="Comma 4 3 5 7" xfId="2701" xr:uid="{00000000-0005-0000-0000-0000C5090000}"/>
    <cellStyle name="Comma 4 3 5 8" xfId="2783" xr:uid="{00000000-0005-0000-0000-0000C6090000}"/>
    <cellStyle name="Comma 4 3 5 8 2" xfId="7007" xr:uid="{00000000-0005-0000-0000-0000C7090000}"/>
    <cellStyle name="Comma 4 3 5 8 2 2" xfId="15449" xr:uid="{58DC63C0-3595-4CF5-85DE-8B71C869DBB5}"/>
    <cellStyle name="Comma 4 3 5 8 3" xfId="11231" xr:uid="{841E6F87-40DF-4BFE-9761-EDF30B039FD5}"/>
    <cellStyle name="Comma 4 3 5 9" xfId="4624" xr:uid="{00000000-0005-0000-0000-0000C8090000}"/>
    <cellStyle name="Comma 4 3 5 9 2" xfId="13066" xr:uid="{A7AA8079-108C-4DFD-95BE-DC4C35482FD0}"/>
    <cellStyle name="Comma 4 4" xfId="153" xr:uid="{00000000-0005-0000-0000-0000C9090000}"/>
    <cellStyle name="Comma 4 4 10" xfId="2784" xr:uid="{00000000-0005-0000-0000-0000CA090000}"/>
    <cellStyle name="Comma 4 4 10 2" xfId="7008" xr:uid="{00000000-0005-0000-0000-0000CB090000}"/>
    <cellStyle name="Comma 4 4 10 2 2" xfId="15450" xr:uid="{6EA920DA-08A5-4F1B-B111-45F8FA119658}"/>
    <cellStyle name="Comma 4 4 10 3" xfId="11232" xr:uid="{A08D0B8E-3655-417D-86EC-5A65AD613140}"/>
    <cellStyle name="Comma 4 4 11" xfId="4625" xr:uid="{00000000-0005-0000-0000-0000CC090000}"/>
    <cellStyle name="Comma 4 4 11 2" xfId="13067" xr:uid="{C2BF98EB-D375-4A57-A286-B64335517510}"/>
    <cellStyle name="Comma 4 4 12" xfId="8849" xr:uid="{EABA5F7C-B102-4116-A56A-C5C3DF3381BA}"/>
    <cellStyle name="Comma 4 4 2" xfId="154" xr:uid="{00000000-0005-0000-0000-0000CD090000}"/>
    <cellStyle name="Comma 4 4 2 10" xfId="4626" xr:uid="{00000000-0005-0000-0000-0000CE090000}"/>
    <cellStyle name="Comma 4 4 2 10 2" xfId="13068" xr:uid="{1E63A0E7-6EC2-45F7-9766-64F3BA19E67B}"/>
    <cellStyle name="Comma 4 4 2 11" xfId="8850" xr:uid="{9E091A52-356A-47DE-89F1-7200A5EADC31}"/>
    <cellStyle name="Comma 4 4 2 2" xfId="155" xr:uid="{00000000-0005-0000-0000-0000CF090000}"/>
    <cellStyle name="Comma 4 4 2 2 10" xfId="8851" xr:uid="{BA2C5FC6-B72B-4A75-ADB3-3FBCD600DDAC}"/>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5A72B2E3-D916-4228-B3BA-FED650CB0D9B}"/>
    <cellStyle name="Comma 4 4 2 2 2 2 3" xfId="11410" xr:uid="{9E72AF24-3016-4CE9-97C1-E26D943A0D6D}"/>
    <cellStyle name="Comma 4 4 2 2 2 3" xfId="5041" xr:uid="{00000000-0005-0000-0000-0000D3090000}"/>
    <cellStyle name="Comma 4 4 2 2 2 3 2" xfId="13483" xr:uid="{B5DF72B9-039D-4555-8495-78123BC8E3EF}"/>
    <cellStyle name="Comma 4 4 2 2 2 4" xfId="9265" xr:uid="{F8297E5F-E2BB-4537-9D03-AFCA1613702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5348F03C-7F19-4206-8891-8835589C03D9}"/>
    <cellStyle name="Comma 4 4 2 2 3 2 3" xfId="11823" xr:uid="{9E6DE4DF-791A-4E54-A1E5-CFF132F09904}"/>
    <cellStyle name="Comma 4 4 2 2 3 3" xfId="5454" xr:uid="{00000000-0005-0000-0000-0000D7090000}"/>
    <cellStyle name="Comma 4 4 2 2 3 3 2" xfId="13896" xr:uid="{98DCF8EB-825A-4F7B-B82E-0E02E36564C6}"/>
    <cellStyle name="Comma 4 4 2 2 3 4" xfId="9678" xr:uid="{09057D41-437B-4F86-ABC9-275C1D68D740}"/>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598AC36E-F4B5-466B-ADBF-FE9C339A6EB5}"/>
    <cellStyle name="Comma 4 4 2 2 4 2 3" xfId="12236" xr:uid="{774CC6A5-6CA2-4300-803C-B003DF9C1671}"/>
    <cellStyle name="Comma 4 4 2 2 4 3" xfId="5867" xr:uid="{00000000-0005-0000-0000-0000DB090000}"/>
    <cellStyle name="Comma 4 4 2 2 4 3 2" xfId="14309" xr:uid="{F04919F9-B40F-49DB-8A14-FB8E16923E01}"/>
    <cellStyle name="Comma 4 4 2 2 4 4" xfId="10091" xr:uid="{93739CB1-5F3F-45F9-BA65-A2B4831003B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FEEBFD55-AD82-4CBA-9B5C-4284777196A7}"/>
    <cellStyle name="Comma 4 4 2 2 5 2 3" xfId="12649" xr:uid="{DFCF97F0-5591-42F8-97E2-A2ADE76C3637}"/>
    <cellStyle name="Comma 4 4 2 2 5 3" xfId="6280" xr:uid="{00000000-0005-0000-0000-0000DF090000}"/>
    <cellStyle name="Comma 4 4 2 2 5 3 2" xfId="14722" xr:uid="{3DAD8A59-A17A-414D-96BD-A23E93A9154A}"/>
    <cellStyle name="Comma 4 4 2 2 5 4" xfId="10504" xr:uid="{29B5FECB-4259-47A9-9EDB-0ECE92B9F0BD}"/>
    <cellStyle name="Comma 4 4 2 2 6" xfId="2408" xr:uid="{00000000-0005-0000-0000-0000E0090000}"/>
    <cellStyle name="Comma 4 4 2 2 6 2" xfId="6693" xr:uid="{00000000-0005-0000-0000-0000E1090000}"/>
    <cellStyle name="Comma 4 4 2 2 6 2 2" xfId="15135" xr:uid="{AD563E3E-2F85-4384-9C98-6EA238EF2FE9}"/>
    <cellStyle name="Comma 4 4 2 2 6 3" xfId="10917" xr:uid="{8D037A11-4BBA-4757-9454-8211C409AF89}"/>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2F8B6DDD-62DE-4A62-9479-06CAD761DFB2}"/>
    <cellStyle name="Comma 4 4 2 2 8 3" xfId="11234" xr:uid="{0A1E19C3-BA9A-4301-921A-FF857A609574}"/>
    <cellStyle name="Comma 4 4 2 2 9" xfId="4627" xr:uid="{00000000-0005-0000-0000-0000E5090000}"/>
    <cellStyle name="Comma 4 4 2 2 9 2" xfId="13069" xr:uid="{B5402D5A-1FE3-489E-9382-1D13BE182746}"/>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E7F412B0-1008-404B-AFD7-2CB8029F0BCD}"/>
    <cellStyle name="Comma 4 4 2 3 2 3" xfId="11409" xr:uid="{E9F1D819-8AE2-4A5A-808F-6081A671F398}"/>
    <cellStyle name="Comma 4 4 2 3 3" xfId="5040" xr:uid="{00000000-0005-0000-0000-0000E9090000}"/>
    <cellStyle name="Comma 4 4 2 3 3 2" xfId="13482" xr:uid="{E2BCA2E9-C01F-4E66-AB53-FD3E4FBEBBFB}"/>
    <cellStyle name="Comma 4 4 2 3 4" xfId="9264" xr:uid="{63771F60-5A39-41F8-8029-0C86EFE85C10}"/>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0BB02A87-9F76-42BC-9651-36D237423AF2}"/>
    <cellStyle name="Comma 4 4 2 4 2 3" xfId="11822" xr:uid="{ADFD92D0-DEFF-408C-9DA9-BC8809235A09}"/>
    <cellStyle name="Comma 4 4 2 4 3" xfId="5453" xr:uid="{00000000-0005-0000-0000-0000ED090000}"/>
    <cellStyle name="Comma 4 4 2 4 3 2" xfId="13895" xr:uid="{CA48B5DE-08C9-44CC-A111-7E96CF239DB9}"/>
    <cellStyle name="Comma 4 4 2 4 4" xfId="9677" xr:uid="{8EFBD040-9987-46E7-A104-78F723A0E392}"/>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4505A29D-649B-474C-8D51-02832CB5B256}"/>
    <cellStyle name="Comma 4 4 2 5 2 3" xfId="12235" xr:uid="{1ADCBB82-871F-4EA8-99C0-FE664B76C652}"/>
    <cellStyle name="Comma 4 4 2 5 3" xfId="5866" xr:uid="{00000000-0005-0000-0000-0000F1090000}"/>
    <cellStyle name="Comma 4 4 2 5 3 2" xfId="14308" xr:uid="{284891C1-14FF-4234-9457-C42269E56FCA}"/>
    <cellStyle name="Comma 4 4 2 5 4" xfId="10090" xr:uid="{36C87AE3-91E0-408F-9C7F-9D7E64057CC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3A7F60C5-6A85-4B5C-8DBF-1657C52067CA}"/>
    <cellStyle name="Comma 4 4 2 6 2 3" xfId="12648" xr:uid="{CB052EA9-B66A-48D9-B0A9-8193C28D9CEF}"/>
    <cellStyle name="Comma 4 4 2 6 3" xfId="6279" xr:uid="{00000000-0005-0000-0000-0000F5090000}"/>
    <cellStyle name="Comma 4 4 2 6 3 2" xfId="14721" xr:uid="{F0C0A66C-9339-4B72-8440-CA13DF20DC1A}"/>
    <cellStyle name="Comma 4 4 2 6 4" xfId="10503" xr:uid="{80373A7F-A709-434B-8E24-5A8324BDF79E}"/>
    <cellStyle name="Comma 4 4 2 7" xfId="2407" xr:uid="{00000000-0005-0000-0000-0000F6090000}"/>
    <cellStyle name="Comma 4 4 2 7 2" xfId="6692" xr:uid="{00000000-0005-0000-0000-0000F7090000}"/>
    <cellStyle name="Comma 4 4 2 7 2 2" xfId="15134" xr:uid="{F75D40C7-77C0-4CBA-890D-1F2E417C796A}"/>
    <cellStyle name="Comma 4 4 2 7 3" xfId="10916" xr:uid="{063447FF-7FF0-4AA3-AA98-F8F94F0B03AB}"/>
    <cellStyle name="Comma 4 4 2 8" xfId="2703" xr:uid="{00000000-0005-0000-0000-0000F8090000}"/>
    <cellStyle name="Comma 4 4 2 9" xfId="2785" xr:uid="{00000000-0005-0000-0000-0000F9090000}"/>
    <cellStyle name="Comma 4 4 2 9 2" xfId="7009" xr:uid="{00000000-0005-0000-0000-0000FA090000}"/>
    <cellStyle name="Comma 4 4 2 9 2 2" xfId="15451" xr:uid="{8C123798-1964-44D1-86F6-D39005F46E8C}"/>
    <cellStyle name="Comma 4 4 2 9 3" xfId="11233" xr:uid="{DFAD4C76-608E-4C84-A30A-0BD66ACCDCC0}"/>
    <cellStyle name="Comma 4 4 3" xfId="156" xr:uid="{00000000-0005-0000-0000-0000FB090000}"/>
    <cellStyle name="Comma 4 4 3 10" xfId="8852" xr:uid="{4A3B3DE3-DC10-4490-AE0A-AEBF9F577CDE}"/>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DA5C5BCB-A866-4A95-97EB-236DF7E63973}"/>
    <cellStyle name="Comma 4 4 3 2 2 3" xfId="11411" xr:uid="{7A824607-28BB-4A2D-B5D4-40A3A3F2D316}"/>
    <cellStyle name="Comma 4 4 3 2 3" xfId="5042" xr:uid="{00000000-0005-0000-0000-0000FF090000}"/>
    <cellStyle name="Comma 4 4 3 2 3 2" xfId="13484" xr:uid="{56D0AB82-1558-4994-9091-209A8A28CB04}"/>
    <cellStyle name="Comma 4 4 3 2 4" xfId="9266" xr:uid="{38ACD5CB-3E43-4361-B733-396FE87500D8}"/>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1A8D9D60-89CA-4C3C-AFCB-6B7D34202E0D}"/>
    <cellStyle name="Comma 4 4 3 3 2 3" xfId="11824" xr:uid="{5A5D0078-2EDA-434C-BB08-3312A42A005F}"/>
    <cellStyle name="Comma 4 4 3 3 3" xfId="5455" xr:uid="{00000000-0005-0000-0000-0000030A0000}"/>
    <cellStyle name="Comma 4 4 3 3 3 2" xfId="13897" xr:uid="{DD3CAAF2-5D36-4F8C-A97D-5EA8F4F8E22A}"/>
    <cellStyle name="Comma 4 4 3 3 4" xfId="9679" xr:uid="{264028C0-89E7-4F8D-A655-763362ADDF55}"/>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E2B38A27-FD3D-4EC6-9793-6E396E1AD3C7}"/>
    <cellStyle name="Comma 4 4 3 4 2 3" xfId="12237" xr:uid="{A521F160-BB24-4064-9E55-7DA250BA7E83}"/>
    <cellStyle name="Comma 4 4 3 4 3" xfId="5868" xr:uid="{00000000-0005-0000-0000-0000070A0000}"/>
    <cellStyle name="Comma 4 4 3 4 3 2" xfId="14310" xr:uid="{E685E585-4FF9-4B6A-BD78-A219E7650AC1}"/>
    <cellStyle name="Comma 4 4 3 4 4" xfId="10092" xr:uid="{C180D986-D5B5-461F-96EF-13D1F0019339}"/>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B3F7FA39-632B-43C2-A505-EEDA70CA6D75}"/>
    <cellStyle name="Comma 4 4 3 5 2 3" xfId="12650" xr:uid="{D2F5FD88-6869-4218-AC7B-32917435052F}"/>
    <cellStyle name="Comma 4 4 3 5 3" xfId="6281" xr:uid="{00000000-0005-0000-0000-00000B0A0000}"/>
    <cellStyle name="Comma 4 4 3 5 3 2" xfId="14723" xr:uid="{CAC7E559-6A88-4D7C-8F93-E01C1875F7AF}"/>
    <cellStyle name="Comma 4 4 3 5 4" xfId="10505" xr:uid="{CB931FD0-A787-4A90-9547-EE8A922EE56B}"/>
    <cellStyle name="Comma 4 4 3 6" xfId="2409" xr:uid="{00000000-0005-0000-0000-00000C0A0000}"/>
    <cellStyle name="Comma 4 4 3 6 2" xfId="6694" xr:uid="{00000000-0005-0000-0000-00000D0A0000}"/>
    <cellStyle name="Comma 4 4 3 6 2 2" xfId="15136" xr:uid="{A83E9FBE-BD5C-4727-A7AB-0787D69F35E8}"/>
    <cellStyle name="Comma 4 4 3 6 3" xfId="10918" xr:uid="{8BCDA1A6-6EB3-4CCB-BCD4-14D1127AA6F5}"/>
    <cellStyle name="Comma 4 4 3 7" xfId="2705" xr:uid="{00000000-0005-0000-0000-00000E0A0000}"/>
    <cellStyle name="Comma 4 4 3 8" xfId="2787" xr:uid="{00000000-0005-0000-0000-00000F0A0000}"/>
    <cellStyle name="Comma 4 4 3 8 2" xfId="7011" xr:uid="{00000000-0005-0000-0000-0000100A0000}"/>
    <cellStyle name="Comma 4 4 3 8 2 2" xfId="15453" xr:uid="{5A39A6C3-0E83-44C5-BDAD-91B168E63E36}"/>
    <cellStyle name="Comma 4 4 3 8 3" xfId="11235" xr:uid="{CE76CE60-92C8-437A-B713-875342209D44}"/>
    <cellStyle name="Comma 4 4 3 9" xfId="4628" xr:uid="{00000000-0005-0000-0000-0000110A0000}"/>
    <cellStyle name="Comma 4 4 3 9 2" xfId="13070" xr:uid="{E428A3C4-BE5E-42ED-967E-5CA841138CF8}"/>
    <cellStyle name="Comma 4 4 4" xfId="690" xr:uid="{00000000-0005-0000-0000-0000120A0000}"/>
    <cellStyle name="Comma 4 4 4 2" xfId="2961" xr:uid="{00000000-0005-0000-0000-0000130A0000}"/>
    <cellStyle name="Comma 4 4 4 2 2" xfId="7184" xr:uid="{00000000-0005-0000-0000-0000140A0000}"/>
    <cellStyle name="Comma 4 4 4 2 2 2" xfId="15626" xr:uid="{8183D1A5-539A-4B8B-A0D8-B33A6317D23B}"/>
    <cellStyle name="Comma 4 4 4 2 3" xfId="11408" xr:uid="{78DF54D1-A78A-465A-84E4-3E6381C9E19A}"/>
    <cellStyle name="Comma 4 4 4 3" xfId="5039" xr:uid="{00000000-0005-0000-0000-0000150A0000}"/>
    <cellStyle name="Comma 4 4 4 3 2" xfId="13481" xr:uid="{4861FCA4-6FE5-4D37-9680-C77D1D407588}"/>
    <cellStyle name="Comma 4 4 4 4" xfId="9263" xr:uid="{43D67052-DBBF-4EE3-9A2B-25E9AA09EE89}"/>
    <cellStyle name="Comma 4 4 5" xfId="1143" xr:uid="{00000000-0005-0000-0000-0000160A0000}"/>
    <cellStyle name="Comma 4 4 5 2" xfId="3374" xr:uid="{00000000-0005-0000-0000-0000170A0000}"/>
    <cellStyle name="Comma 4 4 5 2 2" xfId="7597" xr:uid="{00000000-0005-0000-0000-0000180A0000}"/>
    <cellStyle name="Comma 4 4 5 2 2 2" xfId="16039" xr:uid="{0E44AF56-2C34-4B18-9495-885AB5F11588}"/>
    <cellStyle name="Comma 4 4 5 2 3" xfId="11821" xr:uid="{18FA03AF-519F-4B87-9FC4-C7D9DD30EA95}"/>
    <cellStyle name="Comma 4 4 5 3" xfId="5452" xr:uid="{00000000-0005-0000-0000-0000190A0000}"/>
    <cellStyle name="Comma 4 4 5 3 2" xfId="13894" xr:uid="{AA0E61AF-D466-434E-8BC3-C98B0E5AEE3F}"/>
    <cellStyle name="Comma 4 4 5 4" xfId="9676" xr:uid="{FF9C92B6-9846-488E-A522-FA2BE8EF8583}"/>
    <cellStyle name="Comma 4 4 6" xfId="1557" xr:uid="{00000000-0005-0000-0000-00001A0A0000}"/>
    <cellStyle name="Comma 4 4 6 2" xfId="3787" xr:uid="{00000000-0005-0000-0000-00001B0A0000}"/>
    <cellStyle name="Comma 4 4 6 2 2" xfId="8010" xr:uid="{00000000-0005-0000-0000-00001C0A0000}"/>
    <cellStyle name="Comma 4 4 6 2 2 2" xfId="16452" xr:uid="{D632ECA1-AAF3-460E-BF02-0FD8DE97123D}"/>
    <cellStyle name="Comma 4 4 6 2 3" xfId="12234" xr:uid="{4A350FC6-1336-4AFE-91E5-A2C18A78C7E8}"/>
    <cellStyle name="Comma 4 4 6 3" xfId="5865" xr:uid="{00000000-0005-0000-0000-00001D0A0000}"/>
    <cellStyle name="Comma 4 4 6 3 2" xfId="14307" xr:uid="{AA510A7C-C8D5-4A49-8E9E-41F09557E1ED}"/>
    <cellStyle name="Comma 4 4 6 4" xfId="10089" xr:uid="{DD568D3A-7916-4F82-BA08-5E030AD74852}"/>
    <cellStyle name="Comma 4 4 7" xfId="1971" xr:uid="{00000000-0005-0000-0000-00001E0A0000}"/>
    <cellStyle name="Comma 4 4 7 2" xfId="4200" xr:uid="{00000000-0005-0000-0000-00001F0A0000}"/>
    <cellStyle name="Comma 4 4 7 2 2" xfId="8423" xr:uid="{00000000-0005-0000-0000-0000200A0000}"/>
    <cellStyle name="Comma 4 4 7 2 2 2" xfId="16865" xr:uid="{46AE8EF1-49E0-4928-BDB3-2D3E96822EDA}"/>
    <cellStyle name="Comma 4 4 7 2 3" xfId="12647" xr:uid="{1D0F1485-F02D-4F2A-8500-496567770D0C}"/>
    <cellStyle name="Comma 4 4 7 3" xfId="6278" xr:uid="{00000000-0005-0000-0000-0000210A0000}"/>
    <cellStyle name="Comma 4 4 7 3 2" xfId="14720" xr:uid="{F0FBF6FB-2725-49DC-8909-E242F422A94C}"/>
    <cellStyle name="Comma 4 4 7 4" xfId="10502" xr:uid="{DB4E770F-4408-4C5F-9355-822D743A6628}"/>
    <cellStyle name="Comma 4 4 8" xfId="2406" xr:uid="{00000000-0005-0000-0000-0000220A0000}"/>
    <cellStyle name="Comma 4 4 8 2" xfId="6691" xr:uid="{00000000-0005-0000-0000-0000230A0000}"/>
    <cellStyle name="Comma 4 4 8 2 2" xfId="15133" xr:uid="{68538D93-35EC-4790-9A19-6B4BF7E45A8E}"/>
    <cellStyle name="Comma 4 4 8 3" xfId="10915" xr:uid="{09E0DAD6-1E32-4EAA-811C-15770D86702F}"/>
    <cellStyle name="Comma 4 4 9" xfId="2702" xr:uid="{00000000-0005-0000-0000-0000240A0000}"/>
    <cellStyle name="Comma 4 5" xfId="157" xr:uid="{00000000-0005-0000-0000-0000250A0000}"/>
    <cellStyle name="Comma 4 5 10" xfId="4629" xr:uid="{00000000-0005-0000-0000-0000260A0000}"/>
    <cellStyle name="Comma 4 5 10 2" xfId="13071" xr:uid="{65A291A7-6D07-4030-AC86-235786E827F8}"/>
    <cellStyle name="Comma 4 5 11" xfId="8853" xr:uid="{2BB8943C-153B-4D30-8F52-A2E63760A1A2}"/>
    <cellStyle name="Comma 4 5 2" xfId="158" xr:uid="{00000000-0005-0000-0000-0000270A0000}"/>
    <cellStyle name="Comma 4 5 2 10" xfId="8854" xr:uid="{5BD872BF-BAC1-4680-ABB4-565E1C98DA94}"/>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A691C938-CB7D-45BF-9A7E-BD6309C5FAB7}"/>
    <cellStyle name="Comma 4 5 2 2 2 3" xfId="11413" xr:uid="{DF98C05C-8A58-454A-B4E5-DB26BA46199F}"/>
    <cellStyle name="Comma 4 5 2 2 3" xfId="5044" xr:uid="{00000000-0005-0000-0000-00002B0A0000}"/>
    <cellStyle name="Comma 4 5 2 2 3 2" xfId="13486" xr:uid="{AB4C7186-3FCE-4DA2-8B9D-8EC3F5CF3A45}"/>
    <cellStyle name="Comma 4 5 2 2 4" xfId="9268" xr:uid="{78967B6C-E17D-4D65-A630-F92B9979FEDA}"/>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17660D7C-95BE-4A05-84DF-9732492582E1}"/>
    <cellStyle name="Comma 4 5 2 3 2 3" xfId="11826" xr:uid="{02F9CEB4-4CCA-4F0F-9AF5-2011C28F1C9F}"/>
    <cellStyle name="Comma 4 5 2 3 3" xfId="5457" xr:uid="{00000000-0005-0000-0000-00002F0A0000}"/>
    <cellStyle name="Comma 4 5 2 3 3 2" xfId="13899" xr:uid="{77405054-D6AD-43FF-9D6E-F3C316141990}"/>
    <cellStyle name="Comma 4 5 2 3 4" xfId="9681" xr:uid="{9F0DA2E6-D96D-458E-87EF-E028B7E6B57E}"/>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C0C1C41A-80C4-4FF0-899A-47200B8A7DEB}"/>
    <cellStyle name="Comma 4 5 2 4 2 3" xfId="12239" xr:uid="{2D355662-5E5A-4DAD-BE5A-21F886B2E428}"/>
    <cellStyle name="Comma 4 5 2 4 3" xfId="5870" xr:uid="{00000000-0005-0000-0000-0000330A0000}"/>
    <cellStyle name="Comma 4 5 2 4 3 2" xfId="14312" xr:uid="{B2943EB2-4074-4679-97B9-99C3796BE109}"/>
    <cellStyle name="Comma 4 5 2 4 4" xfId="10094" xr:uid="{C91A3FBE-79D7-45F3-86FA-428B59C1654D}"/>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D3EE9EA9-0053-4971-A105-E4730414FB29}"/>
    <cellStyle name="Comma 4 5 2 5 2 3" xfId="12652" xr:uid="{90CB4256-60B7-444C-80E9-7A6D19D5C690}"/>
    <cellStyle name="Comma 4 5 2 5 3" xfId="6283" xr:uid="{00000000-0005-0000-0000-0000370A0000}"/>
    <cellStyle name="Comma 4 5 2 5 3 2" xfId="14725" xr:uid="{6CE0770F-8C02-40CB-87AD-F331D2ECF496}"/>
    <cellStyle name="Comma 4 5 2 5 4" xfId="10507" xr:uid="{6A5B8335-DC60-4691-AFF5-456C2D70FCE0}"/>
    <cellStyle name="Comma 4 5 2 6" xfId="2411" xr:uid="{00000000-0005-0000-0000-0000380A0000}"/>
    <cellStyle name="Comma 4 5 2 6 2" xfId="6696" xr:uid="{00000000-0005-0000-0000-0000390A0000}"/>
    <cellStyle name="Comma 4 5 2 6 2 2" xfId="15138" xr:uid="{3C106947-45B1-4BC6-B087-AF6BDEA9AA33}"/>
    <cellStyle name="Comma 4 5 2 6 3" xfId="10920" xr:uid="{B23B3CB9-E9AC-4139-AB9D-826E2899C781}"/>
    <cellStyle name="Comma 4 5 2 7" xfId="2707" xr:uid="{00000000-0005-0000-0000-00003A0A0000}"/>
    <cellStyle name="Comma 4 5 2 8" xfId="2789" xr:uid="{00000000-0005-0000-0000-00003B0A0000}"/>
    <cellStyle name="Comma 4 5 2 8 2" xfId="7013" xr:uid="{00000000-0005-0000-0000-00003C0A0000}"/>
    <cellStyle name="Comma 4 5 2 8 2 2" xfId="15455" xr:uid="{1BB3BBA7-F371-408F-AB56-4F7E732B28B8}"/>
    <cellStyle name="Comma 4 5 2 8 3" xfId="11237" xr:uid="{93B5FB18-535F-4362-9E99-6A3A6F9A4CEF}"/>
    <cellStyle name="Comma 4 5 2 9" xfId="4630" xr:uid="{00000000-0005-0000-0000-00003D0A0000}"/>
    <cellStyle name="Comma 4 5 2 9 2" xfId="13072" xr:uid="{60DDC1B4-DC55-425D-ABED-C483AB596A1D}"/>
    <cellStyle name="Comma 4 5 3" xfId="694" xr:uid="{00000000-0005-0000-0000-00003E0A0000}"/>
    <cellStyle name="Comma 4 5 3 2" xfId="2965" xr:uid="{00000000-0005-0000-0000-00003F0A0000}"/>
    <cellStyle name="Comma 4 5 3 2 2" xfId="7188" xr:uid="{00000000-0005-0000-0000-0000400A0000}"/>
    <cellStyle name="Comma 4 5 3 2 2 2" xfId="15630" xr:uid="{BFF97C49-A87B-4EE3-BA6A-37A029AA866F}"/>
    <cellStyle name="Comma 4 5 3 2 3" xfId="11412" xr:uid="{9F26EBB7-291F-411C-BE32-60A2892456A7}"/>
    <cellStyle name="Comma 4 5 3 3" xfId="5043" xr:uid="{00000000-0005-0000-0000-0000410A0000}"/>
    <cellStyle name="Comma 4 5 3 3 2" xfId="13485" xr:uid="{8BFFD871-91CF-4D0B-9029-58F8D3E3452B}"/>
    <cellStyle name="Comma 4 5 3 4" xfId="9267" xr:uid="{E69F34E8-510F-4CD9-8ECF-E2363B738E59}"/>
    <cellStyle name="Comma 4 5 4" xfId="1147" xr:uid="{00000000-0005-0000-0000-0000420A0000}"/>
    <cellStyle name="Comma 4 5 4 2" xfId="3378" xr:uid="{00000000-0005-0000-0000-0000430A0000}"/>
    <cellStyle name="Comma 4 5 4 2 2" xfId="7601" xr:uid="{00000000-0005-0000-0000-0000440A0000}"/>
    <cellStyle name="Comma 4 5 4 2 2 2" xfId="16043" xr:uid="{2E42BF0D-F79D-4D57-BAED-98699039EBB0}"/>
    <cellStyle name="Comma 4 5 4 2 3" xfId="11825" xr:uid="{970F7CD9-53A6-4349-9DE2-A35EE156E2BB}"/>
    <cellStyle name="Comma 4 5 4 3" xfId="5456" xr:uid="{00000000-0005-0000-0000-0000450A0000}"/>
    <cellStyle name="Comma 4 5 4 3 2" xfId="13898" xr:uid="{2194119A-2BCF-4E9B-81B8-DAF889C94C26}"/>
    <cellStyle name="Comma 4 5 4 4" xfId="9680" xr:uid="{000B59F5-40BB-4664-9F64-EB744E9611D5}"/>
    <cellStyle name="Comma 4 5 5" xfId="1561" xr:uid="{00000000-0005-0000-0000-0000460A0000}"/>
    <cellStyle name="Comma 4 5 5 2" xfId="3791" xr:uid="{00000000-0005-0000-0000-0000470A0000}"/>
    <cellStyle name="Comma 4 5 5 2 2" xfId="8014" xr:uid="{00000000-0005-0000-0000-0000480A0000}"/>
    <cellStyle name="Comma 4 5 5 2 2 2" xfId="16456" xr:uid="{2F80D76D-279D-4A88-8F85-F930491D1116}"/>
    <cellStyle name="Comma 4 5 5 2 3" xfId="12238" xr:uid="{9B794348-1E19-4AD2-84EC-1DBAD6E3E1C3}"/>
    <cellStyle name="Comma 4 5 5 3" xfId="5869" xr:uid="{00000000-0005-0000-0000-0000490A0000}"/>
    <cellStyle name="Comma 4 5 5 3 2" xfId="14311" xr:uid="{8CE1B5B8-A56D-40B8-9AFD-C427AB471C07}"/>
    <cellStyle name="Comma 4 5 5 4" xfId="10093" xr:uid="{45D1E71F-B083-4242-BDC4-839B5AF97378}"/>
    <cellStyle name="Comma 4 5 6" xfId="1975" xr:uid="{00000000-0005-0000-0000-00004A0A0000}"/>
    <cellStyle name="Comma 4 5 6 2" xfId="4204" xr:uid="{00000000-0005-0000-0000-00004B0A0000}"/>
    <cellStyle name="Comma 4 5 6 2 2" xfId="8427" xr:uid="{00000000-0005-0000-0000-00004C0A0000}"/>
    <cellStyle name="Comma 4 5 6 2 2 2" xfId="16869" xr:uid="{02CB293A-A7D4-4009-86EE-6E398BFCDAD3}"/>
    <cellStyle name="Comma 4 5 6 2 3" xfId="12651" xr:uid="{9C9CE856-6470-422E-B125-921E31C9E37E}"/>
    <cellStyle name="Comma 4 5 6 3" xfId="6282" xr:uid="{00000000-0005-0000-0000-00004D0A0000}"/>
    <cellStyle name="Comma 4 5 6 3 2" xfId="14724" xr:uid="{4772FD83-63AE-4752-A9EB-A1B346FA4969}"/>
    <cellStyle name="Comma 4 5 6 4" xfId="10506" xr:uid="{61AF1669-09A6-4762-AFAE-F67608EDF067}"/>
    <cellStyle name="Comma 4 5 7" xfId="2410" xr:uid="{00000000-0005-0000-0000-00004E0A0000}"/>
    <cellStyle name="Comma 4 5 7 2" xfId="6695" xr:uid="{00000000-0005-0000-0000-00004F0A0000}"/>
    <cellStyle name="Comma 4 5 7 2 2" xfId="15137" xr:uid="{A59E3371-60BE-40A0-A703-A5B65EB8DDDD}"/>
    <cellStyle name="Comma 4 5 7 3" xfId="10919" xr:uid="{41D45330-191C-49F3-8FBE-BD9B6C61D189}"/>
    <cellStyle name="Comma 4 5 8" xfId="2706" xr:uid="{00000000-0005-0000-0000-0000500A0000}"/>
    <cellStyle name="Comma 4 5 9" xfId="2788" xr:uid="{00000000-0005-0000-0000-0000510A0000}"/>
    <cellStyle name="Comma 4 5 9 2" xfId="7012" xr:uid="{00000000-0005-0000-0000-0000520A0000}"/>
    <cellStyle name="Comma 4 5 9 2 2" xfId="15454" xr:uid="{7FE284C7-3B35-4770-AC12-219B58AF75D7}"/>
    <cellStyle name="Comma 4 5 9 3" xfId="11236" xr:uid="{2E64C114-E5A5-46CD-8B93-BD4346DCB637}"/>
    <cellStyle name="Comma 4 6" xfId="159" xr:uid="{00000000-0005-0000-0000-0000530A0000}"/>
    <cellStyle name="Comma 4 6 10" xfId="8855" xr:uid="{C6306227-8D05-486B-A3EC-022BEAC23112}"/>
    <cellStyle name="Comma 4 6 2" xfId="696" xr:uid="{00000000-0005-0000-0000-0000540A0000}"/>
    <cellStyle name="Comma 4 6 2 2" xfId="2967" xr:uid="{00000000-0005-0000-0000-0000550A0000}"/>
    <cellStyle name="Comma 4 6 2 2 2" xfId="7190" xr:uid="{00000000-0005-0000-0000-0000560A0000}"/>
    <cellStyle name="Comma 4 6 2 2 2 2" xfId="15632" xr:uid="{E1183A2C-5C23-4B11-8425-F3ECDB83205E}"/>
    <cellStyle name="Comma 4 6 2 2 3" xfId="11414" xr:uid="{D8C546E2-7691-4AA5-8F70-8B6BA4446C2C}"/>
    <cellStyle name="Comma 4 6 2 3" xfId="5045" xr:uid="{00000000-0005-0000-0000-0000570A0000}"/>
    <cellStyle name="Comma 4 6 2 3 2" xfId="13487" xr:uid="{9A58AFFD-E024-448A-A2A9-59AEBC81587E}"/>
    <cellStyle name="Comma 4 6 2 4" xfId="9269" xr:uid="{02497207-9D30-4A2D-AEBD-EBDDC7E539F1}"/>
    <cellStyle name="Comma 4 6 3" xfId="1149" xr:uid="{00000000-0005-0000-0000-0000580A0000}"/>
    <cellStyle name="Comma 4 6 3 2" xfId="3380" xr:uid="{00000000-0005-0000-0000-0000590A0000}"/>
    <cellStyle name="Comma 4 6 3 2 2" xfId="7603" xr:uid="{00000000-0005-0000-0000-00005A0A0000}"/>
    <cellStyle name="Comma 4 6 3 2 2 2" xfId="16045" xr:uid="{BCD11023-D95D-41C4-8313-6062473E2E74}"/>
    <cellStyle name="Comma 4 6 3 2 3" xfId="11827" xr:uid="{A6ED0A95-6C89-4D3C-A074-087358DAB7DB}"/>
    <cellStyle name="Comma 4 6 3 3" xfId="5458" xr:uid="{00000000-0005-0000-0000-00005B0A0000}"/>
    <cellStyle name="Comma 4 6 3 3 2" xfId="13900" xr:uid="{5BD76825-EE4C-4EFB-8278-30A4DA2C543F}"/>
    <cellStyle name="Comma 4 6 3 4" xfId="9682" xr:uid="{8CECA4C9-F2C2-4A4E-AE75-E13097EB6ECC}"/>
    <cellStyle name="Comma 4 6 4" xfId="1563" xr:uid="{00000000-0005-0000-0000-00005C0A0000}"/>
    <cellStyle name="Comma 4 6 4 2" xfId="3793" xr:uid="{00000000-0005-0000-0000-00005D0A0000}"/>
    <cellStyle name="Comma 4 6 4 2 2" xfId="8016" xr:uid="{00000000-0005-0000-0000-00005E0A0000}"/>
    <cellStyle name="Comma 4 6 4 2 2 2" xfId="16458" xr:uid="{C67CBB91-3DE1-4AC6-B4E8-5985E507731E}"/>
    <cellStyle name="Comma 4 6 4 2 3" xfId="12240" xr:uid="{4F341C02-419B-4EC9-A42C-CBFC4BBE44E2}"/>
    <cellStyle name="Comma 4 6 4 3" xfId="5871" xr:uid="{00000000-0005-0000-0000-00005F0A0000}"/>
    <cellStyle name="Comma 4 6 4 3 2" xfId="14313" xr:uid="{3BB32228-D098-48C5-983A-69A78143ACE8}"/>
    <cellStyle name="Comma 4 6 4 4" xfId="10095" xr:uid="{DCF401C3-6E1D-47B2-9415-5D7122A10BA2}"/>
    <cellStyle name="Comma 4 6 5" xfId="1977" xr:uid="{00000000-0005-0000-0000-0000600A0000}"/>
    <cellStyle name="Comma 4 6 5 2" xfId="4206" xr:uid="{00000000-0005-0000-0000-0000610A0000}"/>
    <cellStyle name="Comma 4 6 5 2 2" xfId="8429" xr:uid="{00000000-0005-0000-0000-0000620A0000}"/>
    <cellStyle name="Comma 4 6 5 2 2 2" xfId="16871" xr:uid="{E6F14005-70DD-46BC-A062-1E8FBFB6DFC5}"/>
    <cellStyle name="Comma 4 6 5 2 3" xfId="12653" xr:uid="{1BCCEB2A-1BFE-4A8B-B1E4-BC3B987386CA}"/>
    <cellStyle name="Comma 4 6 5 3" xfId="6284" xr:uid="{00000000-0005-0000-0000-0000630A0000}"/>
    <cellStyle name="Comma 4 6 5 3 2" xfId="14726" xr:uid="{FFEEF05F-93F9-4BA9-BA8E-2FF883C57DCE}"/>
    <cellStyle name="Comma 4 6 5 4" xfId="10508" xr:uid="{3A746859-ABC7-48E1-ADB8-51C16675102C}"/>
    <cellStyle name="Comma 4 6 6" xfId="2412" xr:uid="{00000000-0005-0000-0000-0000640A0000}"/>
    <cellStyle name="Comma 4 6 6 2" xfId="6697" xr:uid="{00000000-0005-0000-0000-0000650A0000}"/>
    <cellStyle name="Comma 4 6 6 2 2" xfId="15139" xr:uid="{690A61D8-07B6-4DF9-801B-2EAEFBF26791}"/>
    <cellStyle name="Comma 4 6 6 3" xfId="10921" xr:uid="{E9A1859F-2C40-4224-A571-CDDBD6570139}"/>
    <cellStyle name="Comma 4 6 7" xfId="2708" xr:uid="{00000000-0005-0000-0000-0000660A0000}"/>
    <cellStyle name="Comma 4 6 8" xfId="2790" xr:uid="{00000000-0005-0000-0000-0000670A0000}"/>
    <cellStyle name="Comma 4 6 8 2" xfId="7014" xr:uid="{00000000-0005-0000-0000-0000680A0000}"/>
    <cellStyle name="Comma 4 6 8 2 2" xfId="15456" xr:uid="{C619DB31-239C-4D5C-8998-D32EB44C7BE4}"/>
    <cellStyle name="Comma 4 6 8 3" xfId="11238" xr:uid="{07E95630-9E37-4EA7-AACB-F75DA68FE4D1}"/>
    <cellStyle name="Comma 4 6 9" xfId="4631" xr:uid="{00000000-0005-0000-0000-0000690A0000}"/>
    <cellStyle name="Comma 4 6 9 2" xfId="13073" xr:uid="{2D27CD6C-8F4D-4BE6-8465-101BF11D8784}"/>
    <cellStyle name="Comma 4 7" xfId="160" xr:uid="{00000000-0005-0000-0000-00006A0A0000}"/>
    <cellStyle name="Comma 4 7 10" xfId="8856" xr:uid="{32FA34A9-0BFA-410F-9224-EFEC767FCD63}"/>
    <cellStyle name="Comma 4 7 2" xfId="697" xr:uid="{00000000-0005-0000-0000-00006B0A0000}"/>
    <cellStyle name="Comma 4 7 2 2" xfId="2968" xr:uid="{00000000-0005-0000-0000-00006C0A0000}"/>
    <cellStyle name="Comma 4 7 2 2 2" xfId="7191" xr:uid="{00000000-0005-0000-0000-00006D0A0000}"/>
    <cellStyle name="Comma 4 7 2 2 2 2" xfId="15633" xr:uid="{25A704DE-8844-4084-9133-5FDADD934926}"/>
    <cellStyle name="Comma 4 7 2 2 3" xfId="11415" xr:uid="{7D842377-95CE-4147-9F3D-285024A4DB9E}"/>
    <cellStyle name="Comma 4 7 2 3" xfId="5046" xr:uid="{00000000-0005-0000-0000-00006E0A0000}"/>
    <cellStyle name="Comma 4 7 2 3 2" xfId="13488" xr:uid="{E49493EE-9154-4BD1-AE86-78AA24BF7672}"/>
    <cellStyle name="Comma 4 7 2 4" xfId="9270" xr:uid="{FDD31B24-1132-45CC-AD27-EB4CC91D8A70}"/>
    <cellStyle name="Comma 4 7 3" xfId="1150" xr:uid="{00000000-0005-0000-0000-00006F0A0000}"/>
    <cellStyle name="Comma 4 7 3 2" xfId="3381" xr:uid="{00000000-0005-0000-0000-0000700A0000}"/>
    <cellStyle name="Comma 4 7 3 2 2" xfId="7604" xr:uid="{00000000-0005-0000-0000-0000710A0000}"/>
    <cellStyle name="Comma 4 7 3 2 2 2" xfId="16046" xr:uid="{1E3D67AF-ABE5-4C58-BB5A-E42906A998FF}"/>
    <cellStyle name="Comma 4 7 3 2 3" xfId="11828" xr:uid="{C5E8F18C-5797-4076-AFCE-0C0FFC9D0B58}"/>
    <cellStyle name="Comma 4 7 3 3" xfId="5459" xr:uid="{00000000-0005-0000-0000-0000720A0000}"/>
    <cellStyle name="Comma 4 7 3 3 2" xfId="13901" xr:uid="{A3F84669-F9B0-4CE1-A2D7-032D077CC90A}"/>
    <cellStyle name="Comma 4 7 3 4" xfId="9683" xr:uid="{2608C14C-9398-4DFA-87FE-DDE3E9D1F359}"/>
    <cellStyle name="Comma 4 7 4" xfId="1564" xr:uid="{00000000-0005-0000-0000-0000730A0000}"/>
    <cellStyle name="Comma 4 7 4 2" xfId="3794" xr:uid="{00000000-0005-0000-0000-0000740A0000}"/>
    <cellStyle name="Comma 4 7 4 2 2" xfId="8017" xr:uid="{00000000-0005-0000-0000-0000750A0000}"/>
    <cellStyle name="Comma 4 7 4 2 2 2" xfId="16459" xr:uid="{6EBEF8BF-4959-4D33-8017-4964D382DABD}"/>
    <cellStyle name="Comma 4 7 4 2 3" xfId="12241" xr:uid="{F2323A12-61CB-40D3-B77F-97DBC00FE20A}"/>
    <cellStyle name="Comma 4 7 4 3" xfId="5872" xr:uid="{00000000-0005-0000-0000-0000760A0000}"/>
    <cellStyle name="Comma 4 7 4 3 2" xfId="14314" xr:uid="{3DF374BC-3DF6-4295-89DB-53CA088E6BE2}"/>
    <cellStyle name="Comma 4 7 4 4" xfId="10096" xr:uid="{5DE3A3B0-C63B-4C40-9CA5-909EF691E588}"/>
    <cellStyle name="Comma 4 7 5" xfId="1978" xr:uid="{00000000-0005-0000-0000-0000770A0000}"/>
    <cellStyle name="Comma 4 7 5 2" xfId="4207" xr:uid="{00000000-0005-0000-0000-0000780A0000}"/>
    <cellStyle name="Comma 4 7 5 2 2" xfId="8430" xr:uid="{00000000-0005-0000-0000-0000790A0000}"/>
    <cellStyle name="Comma 4 7 5 2 2 2" xfId="16872" xr:uid="{E6F804EB-5BED-49D0-AF00-A7B3B483B361}"/>
    <cellStyle name="Comma 4 7 5 2 3" xfId="12654" xr:uid="{6BCC0D58-9054-4027-9479-329F2A165FAA}"/>
    <cellStyle name="Comma 4 7 5 3" xfId="6285" xr:uid="{00000000-0005-0000-0000-00007A0A0000}"/>
    <cellStyle name="Comma 4 7 5 3 2" xfId="14727" xr:uid="{C827E31D-7C38-46E4-912E-CEC4F52BEF7B}"/>
    <cellStyle name="Comma 4 7 5 4" xfId="10509" xr:uid="{BA1D34CD-8441-470E-AA91-5E219369F396}"/>
    <cellStyle name="Comma 4 7 6" xfId="2413" xr:uid="{00000000-0005-0000-0000-00007B0A0000}"/>
    <cellStyle name="Comma 4 7 6 2" xfId="6698" xr:uid="{00000000-0005-0000-0000-00007C0A0000}"/>
    <cellStyle name="Comma 4 7 6 2 2" xfId="15140" xr:uid="{6D2C17F4-ABC8-43EF-B4BF-9044587185E8}"/>
    <cellStyle name="Comma 4 7 6 3" xfId="10922" xr:uid="{9F73F9DF-F0FE-4414-A42B-EC2EE3204505}"/>
    <cellStyle name="Comma 4 7 7" xfId="2709" xr:uid="{00000000-0005-0000-0000-00007D0A0000}"/>
    <cellStyle name="Comma 4 7 8" xfId="2791" xr:uid="{00000000-0005-0000-0000-00007E0A0000}"/>
    <cellStyle name="Comma 4 7 8 2" xfId="7015" xr:uid="{00000000-0005-0000-0000-00007F0A0000}"/>
    <cellStyle name="Comma 4 7 8 2 2" xfId="15457" xr:uid="{6A7B1E6D-D275-4A42-AC52-0E5268D43527}"/>
    <cellStyle name="Comma 4 7 8 3" xfId="11239" xr:uid="{A69E0CFB-7890-4873-BEDB-1DAC661A03E3}"/>
    <cellStyle name="Comma 4 7 9" xfId="4632" xr:uid="{00000000-0005-0000-0000-0000800A0000}"/>
    <cellStyle name="Comma 4 7 9 2" xfId="13074" xr:uid="{92B9FC1B-1A5A-4166-BAFD-B88A6572D3E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4BF2F619-0FB3-43BC-96A8-E352B07C99F4}"/>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C152F999-24FF-4CBA-893F-D8BAF84ED678}"/>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ED19CA90-5C13-425C-A429-4BE19C8988FD}"/>
    <cellStyle name="Currency 14 3 2 3" xfId="17165" xr:uid="{3686F94E-371C-4FDD-9908-64772BFE4856}"/>
    <cellStyle name="Currency 14 3 3" xfId="17162" xr:uid="{51A0D2E7-327E-46DB-AE65-2897E1316440}"/>
    <cellStyle name="Currency 14 4" xfId="12945" xr:uid="{464E90F4-EDA9-421D-A0E7-BA5E9B1DC9B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CE347736-943F-4404-9FA9-C90E7AA82B26}"/>
    <cellStyle name="Currency 3 2 2 10 3" xfId="11240" xr:uid="{A9131AFF-DE0B-4656-94CE-D0B5369E780B}"/>
    <cellStyle name="Currency 3 2 2 11" xfId="4633" xr:uid="{00000000-0005-0000-0000-0000A50A0000}"/>
    <cellStyle name="Currency 3 2 2 11 2" xfId="13075" xr:uid="{DCA1FACE-71BE-43BC-AE30-02322CF5824E}"/>
    <cellStyle name="Currency 3 2 2 12" xfId="8857" xr:uid="{E6CD7C4B-5233-4724-B30F-34D0CADC2226}"/>
    <cellStyle name="Currency 3 2 2 2" xfId="179" xr:uid="{00000000-0005-0000-0000-0000A60A0000}"/>
    <cellStyle name="Currency 3 2 2 2 10" xfId="4634" xr:uid="{00000000-0005-0000-0000-0000A70A0000}"/>
    <cellStyle name="Currency 3 2 2 2 10 2" xfId="13076" xr:uid="{851E67B0-1BAA-4178-A26D-317CD47DD511}"/>
    <cellStyle name="Currency 3 2 2 2 11" xfId="8858" xr:uid="{8F0D4B78-8C51-43F7-918C-B42B1A778F97}"/>
    <cellStyle name="Currency 3 2 2 2 2" xfId="180" xr:uid="{00000000-0005-0000-0000-0000A80A0000}"/>
    <cellStyle name="Currency 3 2 2 2 2 10" xfId="8859" xr:uid="{70BEA4D6-6C7F-448B-9498-51ED5E2DA917}"/>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29FA8F7B-6D49-42AB-915C-8A0B12C36E9A}"/>
    <cellStyle name="Currency 3 2 2 2 2 2 2 3" xfId="11418" xr:uid="{731ECC73-5127-42C4-B877-1D3D8100D0CF}"/>
    <cellStyle name="Currency 3 2 2 2 2 2 3" xfId="5049" xr:uid="{00000000-0005-0000-0000-0000AC0A0000}"/>
    <cellStyle name="Currency 3 2 2 2 2 2 3 2" xfId="13491" xr:uid="{DB95549C-A563-457F-849F-9ACB4E32590F}"/>
    <cellStyle name="Currency 3 2 2 2 2 2 4" xfId="9273" xr:uid="{ACB6052F-6063-467C-AB55-84EE70CB397A}"/>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0A548807-DC32-483A-96E9-0B1D6F12F1E5}"/>
    <cellStyle name="Currency 3 2 2 2 2 3 2 3" xfId="11831" xr:uid="{2B0B3161-4F1F-4192-A7DE-F1C140D832F9}"/>
    <cellStyle name="Currency 3 2 2 2 2 3 3" xfId="5462" xr:uid="{00000000-0005-0000-0000-0000B00A0000}"/>
    <cellStyle name="Currency 3 2 2 2 2 3 3 2" xfId="13904" xr:uid="{D42F9EA6-CF38-42F8-9F11-DD5189D24593}"/>
    <cellStyle name="Currency 3 2 2 2 2 3 4" xfId="9686" xr:uid="{62207592-C5AC-4FC5-B4CA-981F9389C9CC}"/>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0CD3D6D3-764D-4583-A996-707C01EA984C}"/>
    <cellStyle name="Currency 3 2 2 2 2 4 2 3" xfId="12244" xr:uid="{BFE2C46D-EFE8-4819-8197-F9D564B0D79E}"/>
    <cellStyle name="Currency 3 2 2 2 2 4 3" xfId="5875" xr:uid="{00000000-0005-0000-0000-0000B40A0000}"/>
    <cellStyle name="Currency 3 2 2 2 2 4 3 2" xfId="14317" xr:uid="{AA2328A5-27FA-40E0-9C24-70E7C99C1D4B}"/>
    <cellStyle name="Currency 3 2 2 2 2 4 4" xfId="10099" xr:uid="{378A6AC2-2164-4970-A31E-0A1831DA5F52}"/>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B8DCC6F-3BC9-4FEF-AA65-F2455A60989E}"/>
    <cellStyle name="Currency 3 2 2 2 2 5 2 3" xfId="12657" xr:uid="{67ABB1F6-984D-465C-873F-14423D6F94AF}"/>
    <cellStyle name="Currency 3 2 2 2 2 5 3" xfId="6288" xr:uid="{00000000-0005-0000-0000-0000B80A0000}"/>
    <cellStyle name="Currency 3 2 2 2 2 5 3 2" xfId="14730" xr:uid="{252D649C-0369-4EA1-8AC0-5D453B8BAEE6}"/>
    <cellStyle name="Currency 3 2 2 2 2 5 4" xfId="10512" xr:uid="{E355C8E8-F98C-4AE4-A687-FBDE962EABE5}"/>
    <cellStyle name="Currency 3 2 2 2 2 6" xfId="2416" xr:uid="{00000000-0005-0000-0000-0000B90A0000}"/>
    <cellStyle name="Currency 3 2 2 2 2 6 2" xfId="6701" xr:uid="{00000000-0005-0000-0000-0000BA0A0000}"/>
    <cellStyle name="Currency 3 2 2 2 2 6 2 2" xfId="15143" xr:uid="{BDB6996E-AB91-413D-B2BE-C556D7D80FB2}"/>
    <cellStyle name="Currency 3 2 2 2 2 6 3" xfId="10925" xr:uid="{235C1293-0AEF-46F0-B086-FBC92FA3765B}"/>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7CC696EE-6308-4EF4-ACF0-843F55C635D2}"/>
    <cellStyle name="Currency 3 2 2 2 2 8 3" xfId="11242" xr:uid="{BBC11187-56F8-4C46-BA64-CA71688B192A}"/>
    <cellStyle name="Currency 3 2 2 2 2 9" xfId="4635" xr:uid="{00000000-0005-0000-0000-0000BE0A0000}"/>
    <cellStyle name="Currency 3 2 2 2 2 9 2" xfId="13077" xr:uid="{CA08C385-11BE-418E-A589-B93694CBDD55}"/>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090F9805-53C6-4077-8988-8137F8483C62}"/>
    <cellStyle name="Currency 3 2 2 2 3 2 3" xfId="11417" xr:uid="{386AAC42-DA45-4FAC-BA0A-551C7A5A67BC}"/>
    <cellStyle name="Currency 3 2 2 2 3 3" xfId="5048" xr:uid="{00000000-0005-0000-0000-0000C20A0000}"/>
    <cellStyle name="Currency 3 2 2 2 3 3 2" xfId="13490" xr:uid="{2ECCD573-3265-48CA-B25F-995C1F1883F0}"/>
    <cellStyle name="Currency 3 2 2 2 3 4" xfId="9272" xr:uid="{684603E5-A20D-4B6A-A7F5-E7443121CC9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A632ECF1-6E73-44B9-93ED-803E3767F413}"/>
    <cellStyle name="Currency 3 2 2 2 4 2 3" xfId="11830" xr:uid="{E0E8BCF0-19F6-408F-A5CF-A7E9722F993B}"/>
    <cellStyle name="Currency 3 2 2 2 4 3" xfId="5461" xr:uid="{00000000-0005-0000-0000-0000C60A0000}"/>
    <cellStyle name="Currency 3 2 2 2 4 3 2" xfId="13903" xr:uid="{AD27A4C0-014D-418A-BA95-D9C8CB98AF4C}"/>
    <cellStyle name="Currency 3 2 2 2 4 4" xfId="9685" xr:uid="{510E5004-CACC-4C9D-9BA1-F4B71FA3BAAB}"/>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F38E12A6-7DCF-4C9D-96B6-2F2C6B7ADAAA}"/>
    <cellStyle name="Currency 3 2 2 2 5 2 3" xfId="12243" xr:uid="{5907CF06-7D97-413D-8007-E3E214052511}"/>
    <cellStyle name="Currency 3 2 2 2 5 3" xfId="5874" xr:uid="{00000000-0005-0000-0000-0000CA0A0000}"/>
    <cellStyle name="Currency 3 2 2 2 5 3 2" xfId="14316" xr:uid="{1E8265B7-DE33-41CF-AD22-4C68D40569B3}"/>
    <cellStyle name="Currency 3 2 2 2 5 4" xfId="10098" xr:uid="{5D6DCF11-1977-4D5A-AFCD-C771691859A2}"/>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C5D07BED-A632-4909-8CDA-CBFC88A0F3EF}"/>
    <cellStyle name="Currency 3 2 2 2 6 2 3" xfId="12656" xr:uid="{17E78E2C-860E-4BA1-8F84-1F963310BE07}"/>
    <cellStyle name="Currency 3 2 2 2 6 3" xfId="6287" xr:uid="{00000000-0005-0000-0000-0000CE0A0000}"/>
    <cellStyle name="Currency 3 2 2 2 6 3 2" xfId="14729" xr:uid="{7A7DE933-3EDA-43BB-B398-FC2F6382374A}"/>
    <cellStyle name="Currency 3 2 2 2 6 4" xfId="10511" xr:uid="{3E745660-28BD-4061-B063-52A42CF8A1A2}"/>
    <cellStyle name="Currency 3 2 2 2 7" xfId="2415" xr:uid="{00000000-0005-0000-0000-0000CF0A0000}"/>
    <cellStyle name="Currency 3 2 2 2 7 2" xfId="6700" xr:uid="{00000000-0005-0000-0000-0000D00A0000}"/>
    <cellStyle name="Currency 3 2 2 2 7 2 2" xfId="15142" xr:uid="{78003402-09F3-4AEC-B7D3-140BFC6C12F8}"/>
    <cellStyle name="Currency 3 2 2 2 7 3" xfId="10924" xr:uid="{5E718DA0-20ED-4625-AA24-520BB892F2D8}"/>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4D6A975D-096C-46E0-8A07-C15979A47145}"/>
    <cellStyle name="Currency 3 2 2 2 9 3" xfId="11241" xr:uid="{A4C5E845-E08C-40F8-AAEC-EA9599FE17C2}"/>
    <cellStyle name="Currency 3 2 2 3" xfId="181" xr:uid="{00000000-0005-0000-0000-0000D40A0000}"/>
    <cellStyle name="Currency 3 2 2 3 10" xfId="8860" xr:uid="{81B146AA-3FAA-486C-83DF-A2B514CDB239}"/>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7EF792ED-D84D-4A3D-A71C-6DE21B7B3D79}"/>
    <cellStyle name="Currency 3 2 2 3 2 2 3" xfId="11419" xr:uid="{C7F05D22-EAD2-4B2C-A974-8BFE45870745}"/>
    <cellStyle name="Currency 3 2 2 3 2 3" xfId="5050" xr:uid="{00000000-0005-0000-0000-0000D80A0000}"/>
    <cellStyle name="Currency 3 2 2 3 2 3 2" xfId="13492" xr:uid="{2822CCA4-7C65-4410-85EC-7E6228031828}"/>
    <cellStyle name="Currency 3 2 2 3 2 4" xfId="9274" xr:uid="{0DE2E82B-CC98-4012-AAED-C653C9F9FCA2}"/>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254E5F4F-015D-4040-ADCF-FBB0BAF6EFCB}"/>
    <cellStyle name="Currency 3 2 2 3 3 2 3" xfId="11832" xr:uid="{8DBDF657-8276-452D-A6C2-C392B6ABF4B7}"/>
    <cellStyle name="Currency 3 2 2 3 3 3" xfId="5463" xr:uid="{00000000-0005-0000-0000-0000DC0A0000}"/>
    <cellStyle name="Currency 3 2 2 3 3 3 2" xfId="13905" xr:uid="{3E382B6A-8E2F-459A-B15E-34C3066CE51C}"/>
    <cellStyle name="Currency 3 2 2 3 3 4" xfId="9687" xr:uid="{5A2E90ED-643E-4895-A706-E8E6C25A381F}"/>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2571C15B-EFFC-4707-8869-4422093D3A62}"/>
    <cellStyle name="Currency 3 2 2 3 4 2 3" xfId="12245" xr:uid="{6DD3AB2A-5BFE-47CB-AF0E-D0174435B18C}"/>
    <cellStyle name="Currency 3 2 2 3 4 3" xfId="5876" xr:uid="{00000000-0005-0000-0000-0000E00A0000}"/>
    <cellStyle name="Currency 3 2 2 3 4 3 2" xfId="14318" xr:uid="{04450567-F19A-4006-8F79-31DE3FE44596}"/>
    <cellStyle name="Currency 3 2 2 3 4 4" xfId="10100" xr:uid="{18C12BDF-545A-49A3-9E9A-4859DC0A2802}"/>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096B97E0-675E-43BE-8ABC-AA4888642BBB}"/>
    <cellStyle name="Currency 3 2 2 3 5 2 3" xfId="12658" xr:uid="{CEACE70E-CD31-40A5-8292-09F38D319107}"/>
    <cellStyle name="Currency 3 2 2 3 5 3" xfId="6289" xr:uid="{00000000-0005-0000-0000-0000E40A0000}"/>
    <cellStyle name="Currency 3 2 2 3 5 3 2" xfId="14731" xr:uid="{F2396069-F8DE-4DFD-B298-FD65C9814EB0}"/>
    <cellStyle name="Currency 3 2 2 3 5 4" xfId="10513" xr:uid="{5540EAD9-B9CB-43B5-B43B-BE34609DCC46}"/>
    <cellStyle name="Currency 3 2 2 3 6" xfId="2417" xr:uid="{00000000-0005-0000-0000-0000E50A0000}"/>
    <cellStyle name="Currency 3 2 2 3 6 2" xfId="6702" xr:uid="{00000000-0005-0000-0000-0000E60A0000}"/>
    <cellStyle name="Currency 3 2 2 3 6 2 2" xfId="15144" xr:uid="{F6300DB8-89EA-4834-90AC-D877F024488A}"/>
    <cellStyle name="Currency 3 2 2 3 6 3" xfId="10926" xr:uid="{6C80B9BE-5F1F-45C8-90F7-8F07EEFECD9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7B782274-43E6-4F39-98B5-4A21C85B69F7}"/>
    <cellStyle name="Currency 3 2 2 3 8 3" xfId="11243" xr:uid="{865124FF-F852-456C-9FB5-F4E78A094BED}"/>
    <cellStyle name="Currency 3 2 2 3 9" xfId="4636" xr:uid="{00000000-0005-0000-0000-0000EA0A0000}"/>
    <cellStyle name="Currency 3 2 2 3 9 2" xfId="13078" xr:uid="{4D756DB6-74BF-4EC6-A49F-E323C4C6BA8C}"/>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23ED2BE0-49CB-4B48-B220-04D23AA75B86}"/>
    <cellStyle name="Currency 3 2 2 4 2 3" xfId="11416" xr:uid="{F246B81B-AC28-4C28-A46D-28C1D5FA8383}"/>
    <cellStyle name="Currency 3 2 2 4 3" xfId="5047" xr:uid="{00000000-0005-0000-0000-0000EE0A0000}"/>
    <cellStyle name="Currency 3 2 2 4 3 2" xfId="13489" xr:uid="{92B06A0D-F92E-4D49-9D91-0AC5EC4AADD2}"/>
    <cellStyle name="Currency 3 2 2 4 4" xfId="9271" xr:uid="{380BC14C-9B09-44E4-907B-5A5E78ADFC5D}"/>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AB29F1AE-79FA-40E5-A4A9-927E9414117B}"/>
    <cellStyle name="Currency 3 2 2 5 2 3" xfId="11829" xr:uid="{54198C1D-C045-4C3B-9855-F41652C1FE5C}"/>
    <cellStyle name="Currency 3 2 2 5 3" xfId="5460" xr:uid="{00000000-0005-0000-0000-0000F20A0000}"/>
    <cellStyle name="Currency 3 2 2 5 3 2" xfId="13902" xr:uid="{E58552CA-BA56-4F87-961E-5202E2BA0A88}"/>
    <cellStyle name="Currency 3 2 2 5 4" xfId="9684" xr:uid="{146735D9-0753-409B-BF85-E3152DB1C2F6}"/>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F7942545-BA32-4FF6-939B-719FDFACDA73}"/>
    <cellStyle name="Currency 3 2 2 6 2 3" xfId="12242" xr:uid="{5DC75944-F11F-496D-B42B-E2333C815EE9}"/>
    <cellStyle name="Currency 3 2 2 6 3" xfId="5873" xr:uid="{00000000-0005-0000-0000-0000F60A0000}"/>
    <cellStyle name="Currency 3 2 2 6 3 2" xfId="14315" xr:uid="{12BDDEAE-3CBD-485E-8C0A-F8B9CD92860D}"/>
    <cellStyle name="Currency 3 2 2 6 4" xfId="10097" xr:uid="{1288DE4D-8175-40AD-8365-6588E4FF9D66}"/>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9EBDDD8E-ADD9-495E-8901-834E438D332F}"/>
    <cellStyle name="Currency 3 2 2 7 2 3" xfId="12655" xr:uid="{9F710E0E-493B-4E41-BD2D-3170593B2AD8}"/>
    <cellStyle name="Currency 3 2 2 7 3" xfId="6286" xr:uid="{00000000-0005-0000-0000-0000FA0A0000}"/>
    <cellStyle name="Currency 3 2 2 7 3 2" xfId="14728" xr:uid="{7527EC78-64C7-4AFF-9258-EFA2184AD110}"/>
    <cellStyle name="Currency 3 2 2 7 4" xfId="10510" xr:uid="{A2A5D52B-2F67-45C4-A49B-F020C483EAF8}"/>
    <cellStyle name="Currency 3 2 2 8" xfId="2414" xr:uid="{00000000-0005-0000-0000-0000FB0A0000}"/>
    <cellStyle name="Currency 3 2 2 8 2" xfId="6699" xr:uid="{00000000-0005-0000-0000-0000FC0A0000}"/>
    <cellStyle name="Currency 3 2 2 8 2 2" xfId="15141" xr:uid="{B00DA733-FA0A-46CC-8ACB-BC13212D0B48}"/>
    <cellStyle name="Currency 3 2 2 8 3" xfId="10923" xr:uid="{2347B5FE-2D24-4DA7-A091-6EBABC336D7B}"/>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1FD9AE83-D483-4A99-B211-79BCFD69B22E}"/>
    <cellStyle name="Currency 3 2 3 11" xfId="8861" xr:uid="{475D9834-5E68-4E2D-B5D1-89E405C4EEF1}"/>
    <cellStyle name="Currency 3 2 3 2" xfId="183" xr:uid="{00000000-0005-0000-0000-0000000B0000}"/>
    <cellStyle name="Currency 3 2 3 2 10" xfId="8862" xr:uid="{2963195C-4684-4424-8585-4D18F7F0189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0FEC610C-7DBC-48C2-BA61-F32325522CE2}"/>
    <cellStyle name="Currency 3 2 3 2 2 2 3" xfId="11421" xr:uid="{32783AEA-8E9D-4FD1-832E-622BD51A545A}"/>
    <cellStyle name="Currency 3 2 3 2 2 3" xfId="5052" xr:uid="{00000000-0005-0000-0000-0000040B0000}"/>
    <cellStyle name="Currency 3 2 3 2 2 3 2" xfId="13494" xr:uid="{8446FF90-73CE-4077-98D4-BF3F0D06BB64}"/>
    <cellStyle name="Currency 3 2 3 2 2 4" xfId="9276" xr:uid="{5CFFFB8E-8B1C-4286-B927-160275564B2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8E4D52FB-2036-47C7-9E85-E420A663C6BA}"/>
    <cellStyle name="Currency 3 2 3 2 3 2 3" xfId="11834" xr:uid="{827D58AE-5E7B-4A87-8C0D-44E13FEEBB79}"/>
    <cellStyle name="Currency 3 2 3 2 3 3" xfId="5465" xr:uid="{00000000-0005-0000-0000-0000080B0000}"/>
    <cellStyle name="Currency 3 2 3 2 3 3 2" xfId="13907" xr:uid="{647113CC-6C7B-434A-AD55-D689BF8BE641}"/>
    <cellStyle name="Currency 3 2 3 2 3 4" xfId="9689" xr:uid="{99382C21-636D-4BA5-B85E-0246521C1F8A}"/>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7DB88104-6AC0-4641-A429-B6AC9166B213}"/>
    <cellStyle name="Currency 3 2 3 2 4 2 3" xfId="12247" xr:uid="{C5A6CD6F-8F4B-40F1-9955-E11192342298}"/>
    <cellStyle name="Currency 3 2 3 2 4 3" xfId="5878" xr:uid="{00000000-0005-0000-0000-00000C0B0000}"/>
    <cellStyle name="Currency 3 2 3 2 4 3 2" xfId="14320" xr:uid="{0F7D4BBE-4B5B-407F-BC8D-CF3346512CC8}"/>
    <cellStyle name="Currency 3 2 3 2 4 4" xfId="10102" xr:uid="{92FDBBC2-7BE7-44CF-B0E3-30AFEB4BEC2A}"/>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38BE46E2-430E-44BD-B84B-6BA4375C533E}"/>
    <cellStyle name="Currency 3 2 3 2 5 2 3" xfId="12660" xr:uid="{C8FF3770-FB33-4B7B-BB60-8B2B400B7201}"/>
    <cellStyle name="Currency 3 2 3 2 5 3" xfId="6291" xr:uid="{00000000-0005-0000-0000-0000100B0000}"/>
    <cellStyle name="Currency 3 2 3 2 5 3 2" xfId="14733" xr:uid="{69FEF61C-467D-4825-822B-5F5E0644C12A}"/>
    <cellStyle name="Currency 3 2 3 2 5 4" xfId="10515" xr:uid="{3C1F14AA-9B11-44E8-897F-B246E7011734}"/>
    <cellStyle name="Currency 3 2 3 2 6" xfId="2419" xr:uid="{00000000-0005-0000-0000-0000110B0000}"/>
    <cellStyle name="Currency 3 2 3 2 6 2" xfId="6704" xr:uid="{00000000-0005-0000-0000-0000120B0000}"/>
    <cellStyle name="Currency 3 2 3 2 6 2 2" xfId="15146" xr:uid="{F01E7A0A-617B-4813-97AB-7578F8290C09}"/>
    <cellStyle name="Currency 3 2 3 2 6 3" xfId="10928" xr:uid="{2FC06638-E72C-441E-A63F-0D4BF3F2AB13}"/>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0823BDDE-BCB7-41B0-A333-4EE2759DF2C8}"/>
    <cellStyle name="Currency 3 2 3 2 8 3" xfId="11245" xr:uid="{DED68ABA-B027-4D6F-A406-430BB80BA1BE}"/>
    <cellStyle name="Currency 3 2 3 2 9" xfId="4638" xr:uid="{00000000-0005-0000-0000-0000160B0000}"/>
    <cellStyle name="Currency 3 2 3 2 9 2" xfId="13080" xr:uid="{7C4A89C0-A332-45D1-B9F6-C813CEFED74F}"/>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89EC88BD-7EB0-49C0-8AD1-47FF53A45E3C}"/>
    <cellStyle name="Currency 3 2 3 3 2 3" xfId="11420" xr:uid="{103AB9E5-5A29-4B71-8458-988054252558}"/>
    <cellStyle name="Currency 3 2 3 3 3" xfId="5051" xr:uid="{00000000-0005-0000-0000-00001A0B0000}"/>
    <cellStyle name="Currency 3 2 3 3 3 2" xfId="13493" xr:uid="{63BC52B1-DA60-4FB8-9496-A1283E2E07BE}"/>
    <cellStyle name="Currency 3 2 3 3 4" xfId="9275" xr:uid="{7292E496-1713-4360-9D6B-34DB7B8C9D88}"/>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EB892B3C-C66C-4346-8A83-A7C359380E5E}"/>
    <cellStyle name="Currency 3 2 3 4 2 3" xfId="11833" xr:uid="{67A56854-AAE8-47BB-8F85-D8A6A0F0ED0E}"/>
    <cellStyle name="Currency 3 2 3 4 3" xfId="5464" xr:uid="{00000000-0005-0000-0000-00001E0B0000}"/>
    <cellStyle name="Currency 3 2 3 4 3 2" xfId="13906" xr:uid="{3275E105-0F07-4169-BCD4-2995EF709357}"/>
    <cellStyle name="Currency 3 2 3 4 4" xfId="9688" xr:uid="{464418FC-4F19-4C53-920B-97797C9FD199}"/>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9C757FB2-28A6-4887-8D6A-2D8A1B20E04B}"/>
    <cellStyle name="Currency 3 2 3 5 2 3" xfId="12246" xr:uid="{16E101BB-081C-4C52-824B-53E861A60841}"/>
    <cellStyle name="Currency 3 2 3 5 3" xfId="5877" xr:uid="{00000000-0005-0000-0000-0000220B0000}"/>
    <cellStyle name="Currency 3 2 3 5 3 2" xfId="14319" xr:uid="{C654905D-1735-4F5B-8F7C-112C46EA896F}"/>
    <cellStyle name="Currency 3 2 3 5 4" xfId="10101" xr:uid="{D5C9D733-87A9-4DC5-9068-E1FB385CB410}"/>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72E36FB8-6A7A-40CD-A5DB-1E2249388178}"/>
    <cellStyle name="Currency 3 2 3 6 2 3" xfId="12659" xr:uid="{810B1DDB-C779-44A0-90F5-6B511F925AC2}"/>
    <cellStyle name="Currency 3 2 3 6 3" xfId="6290" xr:uid="{00000000-0005-0000-0000-0000260B0000}"/>
    <cellStyle name="Currency 3 2 3 6 3 2" xfId="14732" xr:uid="{5C01DA79-47F7-445E-ABB3-8DD0C50FD6DD}"/>
    <cellStyle name="Currency 3 2 3 6 4" xfId="10514" xr:uid="{BA54D391-43D7-40A5-87A8-9AF032FB23D3}"/>
    <cellStyle name="Currency 3 2 3 7" xfId="2418" xr:uid="{00000000-0005-0000-0000-0000270B0000}"/>
    <cellStyle name="Currency 3 2 3 7 2" xfId="6703" xr:uid="{00000000-0005-0000-0000-0000280B0000}"/>
    <cellStyle name="Currency 3 2 3 7 2 2" xfId="15145" xr:uid="{C3FC8730-5D9A-4597-82BF-039294EBBAE6}"/>
    <cellStyle name="Currency 3 2 3 7 3" xfId="10927" xr:uid="{126CC3E8-BB69-4827-95A9-6681972C4D68}"/>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C185E092-A9E6-4B75-B5DA-6785056378F4}"/>
    <cellStyle name="Currency 3 2 3 9 3" xfId="11244" xr:uid="{3FDD92E5-1743-4E62-AB1B-01591EF3BE12}"/>
    <cellStyle name="Currency 3 2 4" xfId="184" xr:uid="{00000000-0005-0000-0000-00002C0B0000}"/>
    <cellStyle name="Currency 3 2 4 10" xfId="8863" xr:uid="{CDB1AF32-E405-4F98-8405-85EB66DF5D08}"/>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AB8AE0F6-1E37-4408-B89C-236753162FEA}"/>
    <cellStyle name="Currency 3 2 4 2 2 3" xfId="11422" xr:uid="{99FDF78A-A567-4735-96AC-6B1ED59CAD86}"/>
    <cellStyle name="Currency 3 2 4 2 3" xfId="5053" xr:uid="{00000000-0005-0000-0000-0000300B0000}"/>
    <cellStyle name="Currency 3 2 4 2 3 2" xfId="13495" xr:uid="{4937D294-D59E-484A-92E4-DC4B74900995}"/>
    <cellStyle name="Currency 3 2 4 2 4" xfId="9277" xr:uid="{E9E727C2-FDF1-423A-AD92-D7A8BABF2C16}"/>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DB273365-0844-4911-9CA0-B8C9465DE33D}"/>
    <cellStyle name="Currency 3 2 4 3 2 3" xfId="11835" xr:uid="{7E0F0A1F-977C-4930-AA36-CFF0F6F42898}"/>
    <cellStyle name="Currency 3 2 4 3 3" xfId="5466" xr:uid="{00000000-0005-0000-0000-0000340B0000}"/>
    <cellStyle name="Currency 3 2 4 3 3 2" xfId="13908" xr:uid="{6398E3C8-9100-4038-8AE5-C751EA89B3F0}"/>
    <cellStyle name="Currency 3 2 4 3 4" xfId="9690" xr:uid="{E86200EA-0CB9-4D50-B76B-907F77ACEB18}"/>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0DBB9ADA-B72E-4823-B624-106BEB9E8352}"/>
    <cellStyle name="Currency 3 2 4 4 2 3" xfId="12248" xr:uid="{F8F2D20D-F7BF-46FF-881F-9B362EEF71CC}"/>
    <cellStyle name="Currency 3 2 4 4 3" xfId="5879" xr:uid="{00000000-0005-0000-0000-0000380B0000}"/>
    <cellStyle name="Currency 3 2 4 4 3 2" xfId="14321" xr:uid="{68F24404-8D07-4A30-A58E-D47FF59DA6FA}"/>
    <cellStyle name="Currency 3 2 4 4 4" xfId="10103" xr:uid="{7FCFA6B8-DFFC-4F2D-A3E3-305EA9937EF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C44024E2-A63C-483C-ADF2-FCAA106EE75C}"/>
    <cellStyle name="Currency 3 2 4 5 2 3" xfId="12661" xr:uid="{1682845C-CCCE-4817-B212-5A8110472EE5}"/>
    <cellStyle name="Currency 3 2 4 5 3" xfId="6292" xr:uid="{00000000-0005-0000-0000-00003C0B0000}"/>
    <cellStyle name="Currency 3 2 4 5 3 2" xfId="14734" xr:uid="{3CD817D5-9EEC-42A1-A047-9C1FA45B2770}"/>
    <cellStyle name="Currency 3 2 4 5 4" xfId="10516" xr:uid="{ABD1E023-731E-4365-80F0-F2B22D7717F4}"/>
    <cellStyle name="Currency 3 2 4 6" xfId="2420" xr:uid="{00000000-0005-0000-0000-00003D0B0000}"/>
    <cellStyle name="Currency 3 2 4 6 2" xfId="6705" xr:uid="{00000000-0005-0000-0000-00003E0B0000}"/>
    <cellStyle name="Currency 3 2 4 6 2 2" xfId="15147" xr:uid="{CF5A23F9-6AE4-47DE-93D4-B7E9D9439D2E}"/>
    <cellStyle name="Currency 3 2 4 6 3" xfId="10929" xr:uid="{A0102694-1A1B-444B-BC21-0F37241C4F74}"/>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FA56661D-E193-494F-8FF6-065A29934B6D}"/>
    <cellStyle name="Currency 3 2 4 8 3" xfId="11246" xr:uid="{EF5C3BFC-5E4C-4479-BF97-8AD6E4028E87}"/>
    <cellStyle name="Currency 3 2 4 9" xfId="4639" xr:uid="{00000000-0005-0000-0000-0000420B0000}"/>
    <cellStyle name="Currency 3 2 4 9 2" xfId="13081" xr:uid="{A4A852D7-DF7C-451E-92AF-A1F007EB28AC}"/>
    <cellStyle name="Currency 3 2 5" xfId="185" xr:uid="{00000000-0005-0000-0000-0000430B0000}"/>
    <cellStyle name="Currency 3 2 5 10" xfId="8864" xr:uid="{D08CF0CD-14D4-41B2-9E21-C8D670D357A5}"/>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2C082678-1617-479E-9B92-35F49097C10C}"/>
    <cellStyle name="Currency 3 2 5 2 2 3" xfId="11423" xr:uid="{CD55E097-E6E0-4B09-8A4D-44A6FC9CCC78}"/>
    <cellStyle name="Currency 3 2 5 2 3" xfId="5054" xr:uid="{00000000-0005-0000-0000-0000470B0000}"/>
    <cellStyle name="Currency 3 2 5 2 3 2" xfId="13496" xr:uid="{E6529687-08C6-46F7-845E-51DAE650CB0B}"/>
    <cellStyle name="Currency 3 2 5 2 4" xfId="9278" xr:uid="{057526BF-350F-42F6-9845-D94C80ECF5F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E3C60C98-F702-4A91-8518-2C58F99AAE7B}"/>
    <cellStyle name="Currency 3 2 5 3 2 3" xfId="11836" xr:uid="{A9874FE8-5F6C-47E0-B97B-D311BBC4AFC0}"/>
    <cellStyle name="Currency 3 2 5 3 3" xfId="5467" xr:uid="{00000000-0005-0000-0000-00004B0B0000}"/>
    <cellStyle name="Currency 3 2 5 3 3 2" xfId="13909" xr:uid="{99DBEAEC-3EFD-47F6-9A42-D9A787E0D540}"/>
    <cellStyle name="Currency 3 2 5 3 4" xfId="9691" xr:uid="{165949A9-CCF2-4AED-8110-6E495D81026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CBE71461-0A81-40F8-A722-D02CF657DC59}"/>
    <cellStyle name="Currency 3 2 5 4 2 3" xfId="12249" xr:uid="{ED91771C-E45E-4C58-B91F-7AE86CEEC973}"/>
    <cellStyle name="Currency 3 2 5 4 3" xfId="5880" xr:uid="{00000000-0005-0000-0000-00004F0B0000}"/>
    <cellStyle name="Currency 3 2 5 4 3 2" xfId="14322" xr:uid="{3132F3E4-6428-4BF4-93DA-225E983344F8}"/>
    <cellStyle name="Currency 3 2 5 4 4" xfId="10104" xr:uid="{A2754ECD-9955-4AEB-B833-DAE94220D10D}"/>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C1B96F7E-C857-4F7B-AFE8-3BDD31903C98}"/>
    <cellStyle name="Currency 3 2 5 5 2 3" xfId="12662" xr:uid="{B25BB1EE-251D-431E-89F7-65933512408D}"/>
    <cellStyle name="Currency 3 2 5 5 3" xfId="6293" xr:uid="{00000000-0005-0000-0000-0000530B0000}"/>
    <cellStyle name="Currency 3 2 5 5 3 2" xfId="14735" xr:uid="{48EC8CF8-72B3-4D00-A56C-63ACAE2E99B8}"/>
    <cellStyle name="Currency 3 2 5 5 4" xfId="10517" xr:uid="{77CF3A37-0E99-4448-9940-619DE180A7D3}"/>
    <cellStyle name="Currency 3 2 5 6" xfId="2421" xr:uid="{00000000-0005-0000-0000-0000540B0000}"/>
    <cellStyle name="Currency 3 2 5 6 2" xfId="6706" xr:uid="{00000000-0005-0000-0000-0000550B0000}"/>
    <cellStyle name="Currency 3 2 5 6 2 2" xfId="15148" xr:uid="{CB035BF1-180B-4BD9-8779-E3BB69054A2C}"/>
    <cellStyle name="Currency 3 2 5 6 3" xfId="10930" xr:uid="{7044C1F1-18E2-4680-816F-415B73A0FC04}"/>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BAC25B5B-A482-4DAB-BF69-D65A6C6A67A7}"/>
    <cellStyle name="Currency 3 2 5 8 3" xfId="11247" xr:uid="{04D51075-C8A4-431C-AF27-B9E89B35DB5F}"/>
    <cellStyle name="Currency 3 2 5 9" xfId="4640" xr:uid="{00000000-0005-0000-0000-0000590B0000}"/>
    <cellStyle name="Currency 3 2 5 9 2" xfId="13082" xr:uid="{3C213936-3B74-44F2-91B9-9EBD837A09B2}"/>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D92A2666-3A3A-44B9-A3C8-CCC2E31E47D1}"/>
    <cellStyle name="Currency 5 2 2 2 10 3" xfId="11248" xr:uid="{430F7026-5F64-4B2C-A405-68F9EEA892E0}"/>
    <cellStyle name="Currency 5 2 2 2 11" xfId="4641" xr:uid="{00000000-0005-0000-0000-00006C0B0000}"/>
    <cellStyle name="Currency 5 2 2 2 11 2" xfId="13083" xr:uid="{55A8353C-9793-4AF3-BC65-CFCFBDAB8690}"/>
    <cellStyle name="Currency 5 2 2 2 12" xfId="8865" xr:uid="{BE401F6D-058B-4678-8377-AE12A6B7E462}"/>
    <cellStyle name="Currency 5 2 2 2 2" xfId="197" xr:uid="{00000000-0005-0000-0000-00006D0B0000}"/>
    <cellStyle name="Currency 5 2 2 2 2 10" xfId="4642" xr:uid="{00000000-0005-0000-0000-00006E0B0000}"/>
    <cellStyle name="Currency 5 2 2 2 2 10 2" xfId="13084" xr:uid="{8659500B-D9D6-47B7-968D-54D8A824A6C4}"/>
    <cellStyle name="Currency 5 2 2 2 2 11" xfId="8866" xr:uid="{C5777E79-562A-4F61-934E-1C75239AB9B9}"/>
    <cellStyle name="Currency 5 2 2 2 2 2" xfId="198" xr:uid="{00000000-0005-0000-0000-00006F0B0000}"/>
    <cellStyle name="Currency 5 2 2 2 2 2 10" xfId="8867" xr:uid="{4F03DB4F-499D-4481-B366-52DB327C3FD5}"/>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6972F48C-545E-4495-B755-444B86E22094}"/>
    <cellStyle name="Currency 5 2 2 2 2 2 2 2 3" xfId="11426" xr:uid="{693A5BBC-9649-4A98-9A17-A0F4C1DECF6A}"/>
    <cellStyle name="Currency 5 2 2 2 2 2 2 3" xfId="5057" xr:uid="{00000000-0005-0000-0000-0000730B0000}"/>
    <cellStyle name="Currency 5 2 2 2 2 2 2 3 2" xfId="13499" xr:uid="{DF95E1B1-37EF-4E21-9493-6970E958CCAC}"/>
    <cellStyle name="Currency 5 2 2 2 2 2 2 4" xfId="9281" xr:uid="{078DE443-F16E-4850-B9B3-869AC88CDE97}"/>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2893DE48-7871-44FB-9718-AFB0062AC3FE}"/>
    <cellStyle name="Currency 5 2 2 2 2 2 3 2 3" xfId="11839" xr:uid="{5DD4D338-754E-4FB5-AD08-21C05080ABFB}"/>
    <cellStyle name="Currency 5 2 2 2 2 2 3 3" xfId="5470" xr:uid="{00000000-0005-0000-0000-0000770B0000}"/>
    <cellStyle name="Currency 5 2 2 2 2 2 3 3 2" xfId="13912" xr:uid="{A6A6A5D1-7EAA-4C10-BDB9-F15ACB913DAE}"/>
    <cellStyle name="Currency 5 2 2 2 2 2 3 4" xfId="9694" xr:uid="{7AFE73A3-69AB-4D60-83C1-BF3ED75BEA72}"/>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6BC9CBAC-9AEF-46F5-B1D9-527812E8F14D}"/>
    <cellStyle name="Currency 5 2 2 2 2 2 4 2 3" xfId="12252" xr:uid="{A35B73C7-AE64-4E98-8CA3-457065FB4DE3}"/>
    <cellStyle name="Currency 5 2 2 2 2 2 4 3" xfId="5883" xr:uid="{00000000-0005-0000-0000-00007B0B0000}"/>
    <cellStyle name="Currency 5 2 2 2 2 2 4 3 2" xfId="14325" xr:uid="{28321DBE-3D8E-437A-9A01-414C5036BC1A}"/>
    <cellStyle name="Currency 5 2 2 2 2 2 4 4" xfId="10107" xr:uid="{C77EE0AC-4B23-4A93-A633-9B4C1AC8D571}"/>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1C5A0308-D4D5-4D9F-A96B-CE90B02E6C02}"/>
    <cellStyle name="Currency 5 2 2 2 2 2 5 2 3" xfId="12665" xr:uid="{EA5C8779-8343-4B16-99FB-C6284C85E330}"/>
    <cellStyle name="Currency 5 2 2 2 2 2 5 3" xfId="6296" xr:uid="{00000000-0005-0000-0000-00007F0B0000}"/>
    <cellStyle name="Currency 5 2 2 2 2 2 5 3 2" xfId="14738" xr:uid="{B9E30B1F-452D-4F59-82DD-7AE9CF6796CE}"/>
    <cellStyle name="Currency 5 2 2 2 2 2 5 4" xfId="10520" xr:uid="{7175A99E-DD19-40D9-8A71-A0A699BD14DD}"/>
    <cellStyle name="Currency 5 2 2 2 2 2 6" xfId="2424" xr:uid="{00000000-0005-0000-0000-0000800B0000}"/>
    <cellStyle name="Currency 5 2 2 2 2 2 6 2" xfId="6709" xr:uid="{00000000-0005-0000-0000-0000810B0000}"/>
    <cellStyle name="Currency 5 2 2 2 2 2 6 2 2" xfId="15151" xr:uid="{9FCD7867-8745-414F-9CD6-277D180E4D55}"/>
    <cellStyle name="Currency 5 2 2 2 2 2 6 3" xfId="10933" xr:uid="{2A6657FD-B4D0-4C9B-9BD4-0DD68E4E450A}"/>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36D86D51-C228-4F1D-A4AA-923F222D35AB}"/>
    <cellStyle name="Currency 5 2 2 2 2 2 8 3" xfId="11250" xr:uid="{DBFBA43A-B9AE-4BEC-A46B-EA7EF5297D75}"/>
    <cellStyle name="Currency 5 2 2 2 2 2 9" xfId="4643" xr:uid="{00000000-0005-0000-0000-0000850B0000}"/>
    <cellStyle name="Currency 5 2 2 2 2 2 9 2" xfId="13085" xr:uid="{3917E9A4-20C8-4F5B-B105-3A839FE5E18D}"/>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AE1E2233-8555-48B2-8CF1-20E25B3CB32B}"/>
    <cellStyle name="Currency 5 2 2 2 2 3 2 3" xfId="11425" xr:uid="{C69A682F-B966-434F-A77A-76C55054FD41}"/>
    <cellStyle name="Currency 5 2 2 2 2 3 3" xfId="5056" xr:uid="{00000000-0005-0000-0000-0000890B0000}"/>
    <cellStyle name="Currency 5 2 2 2 2 3 3 2" xfId="13498" xr:uid="{6F6F5CA9-6A5F-4DEF-83AF-D925B5740853}"/>
    <cellStyle name="Currency 5 2 2 2 2 3 4" xfId="9280" xr:uid="{A4F8046A-F774-4530-9FD8-4C988BB674C5}"/>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520C2AC3-3697-4E3B-9E1A-3DBDD18ED240}"/>
    <cellStyle name="Currency 5 2 2 2 2 4 2 3" xfId="11838" xr:uid="{4A962E28-D394-4A8D-920E-F0D75B55F6A7}"/>
    <cellStyle name="Currency 5 2 2 2 2 4 3" xfId="5469" xr:uid="{00000000-0005-0000-0000-00008D0B0000}"/>
    <cellStyle name="Currency 5 2 2 2 2 4 3 2" xfId="13911" xr:uid="{C0B9EF5A-1888-41E5-8E00-1835E00CD76B}"/>
    <cellStyle name="Currency 5 2 2 2 2 4 4" xfId="9693" xr:uid="{B2DE68CC-130B-4516-A8C9-EE6D905A54B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8BB32D3-1C19-48D2-96E4-F4841E3FB5C2}"/>
    <cellStyle name="Currency 5 2 2 2 2 5 2 3" xfId="12251" xr:uid="{481E6745-5B81-4F6B-85DB-5FF0658182B7}"/>
    <cellStyle name="Currency 5 2 2 2 2 5 3" xfId="5882" xr:uid="{00000000-0005-0000-0000-0000910B0000}"/>
    <cellStyle name="Currency 5 2 2 2 2 5 3 2" xfId="14324" xr:uid="{6B409FA8-E41A-45FC-A373-9803E15E5360}"/>
    <cellStyle name="Currency 5 2 2 2 2 5 4" xfId="10106" xr:uid="{94572DAA-9F89-4827-A427-FA2FD9ACD22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5CF23BDC-6D29-4BD0-9DC7-FB27C0AD86B8}"/>
    <cellStyle name="Currency 5 2 2 2 2 6 2 3" xfId="12664" xr:uid="{EFAFA47E-5F33-43A0-A366-3491A08A6824}"/>
    <cellStyle name="Currency 5 2 2 2 2 6 3" xfId="6295" xr:uid="{00000000-0005-0000-0000-0000950B0000}"/>
    <cellStyle name="Currency 5 2 2 2 2 6 3 2" xfId="14737" xr:uid="{FC942F1B-F86A-4276-9DCA-24D3C2F29C11}"/>
    <cellStyle name="Currency 5 2 2 2 2 6 4" xfId="10519" xr:uid="{27A819AA-169F-4AA1-9EEB-9142673A8114}"/>
    <cellStyle name="Currency 5 2 2 2 2 7" xfId="2423" xr:uid="{00000000-0005-0000-0000-0000960B0000}"/>
    <cellStyle name="Currency 5 2 2 2 2 7 2" xfId="6708" xr:uid="{00000000-0005-0000-0000-0000970B0000}"/>
    <cellStyle name="Currency 5 2 2 2 2 7 2 2" xfId="15150" xr:uid="{B7E316D7-9D98-451D-92C4-FADD79947F3A}"/>
    <cellStyle name="Currency 5 2 2 2 2 7 3" xfId="10932" xr:uid="{32CFBD2C-9EFD-49A6-95E0-174424D8789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8036E48B-23F7-4CD2-A103-7E32E701582F}"/>
    <cellStyle name="Currency 5 2 2 2 2 9 3" xfId="11249" xr:uid="{4F88C68B-EC39-4B4A-837D-8072B726D0F0}"/>
    <cellStyle name="Currency 5 2 2 2 3" xfId="199" xr:uid="{00000000-0005-0000-0000-00009B0B0000}"/>
    <cellStyle name="Currency 5 2 2 2 3 10" xfId="8868" xr:uid="{9B15C1F1-6105-4172-A6B3-3A5A2313257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B2B019D4-BCE1-4283-8C1C-0AD856F69115}"/>
    <cellStyle name="Currency 5 2 2 2 3 2 2 3" xfId="11427" xr:uid="{C6F5D52C-3E31-477E-8CD9-EBB073BD7A45}"/>
    <cellStyle name="Currency 5 2 2 2 3 2 3" xfId="5058" xr:uid="{00000000-0005-0000-0000-00009F0B0000}"/>
    <cellStyle name="Currency 5 2 2 2 3 2 3 2" xfId="13500" xr:uid="{E2F15858-FE3E-4ACE-9D90-0464F88FFBC8}"/>
    <cellStyle name="Currency 5 2 2 2 3 2 4" xfId="9282" xr:uid="{AC53FF68-B2DF-49C7-BD41-B06D4A31DE7B}"/>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7E08E38B-1E48-4F31-A4E6-C1971734C914}"/>
    <cellStyle name="Currency 5 2 2 2 3 3 2 3" xfId="11840" xr:uid="{CC355C24-9418-4186-9E37-AFD5625AB29B}"/>
    <cellStyle name="Currency 5 2 2 2 3 3 3" xfId="5471" xr:uid="{00000000-0005-0000-0000-0000A30B0000}"/>
    <cellStyle name="Currency 5 2 2 2 3 3 3 2" xfId="13913" xr:uid="{581D4A49-F32E-46D4-A990-44F266959336}"/>
    <cellStyle name="Currency 5 2 2 2 3 3 4" xfId="9695" xr:uid="{7DC05051-B704-4124-B623-EDD13003BCB6}"/>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C5397CB4-DB75-4999-B3B6-157B3D56E05A}"/>
    <cellStyle name="Currency 5 2 2 2 3 4 2 3" xfId="12253" xr:uid="{150F02AB-702E-4B4C-A8A9-BC53579E1FF9}"/>
    <cellStyle name="Currency 5 2 2 2 3 4 3" xfId="5884" xr:uid="{00000000-0005-0000-0000-0000A70B0000}"/>
    <cellStyle name="Currency 5 2 2 2 3 4 3 2" xfId="14326" xr:uid="{CAC64C7C-113D-45FF-A76F-A935F8162656}"/>
    <cellStyle name="Currency 5 2 2 2 3 4 4" xfId="10108" xr:uid="{C6E4DDA4-13CC-4592-A132-B1BF4E7A4CB1}"/>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AA03BC25-73C5-4632-8198-A84639207EA1}"/>
    <cellStyle name="Currency 5 2 2 2 3 5 2 3" xfId="12666" xr:uid="{7EF94A6B-6CB6-4705-A413-0B2F3BF0374D}"/>
    <cellStyle name="Currency 5 2 2 2 3 5 3" xfId="6297" xr:uid="{00000000-0005-0000-0000-0000AB0B0000}"/>
    <cellStyle name="Currency 5 2 2 2 3 5 3 2" xfId="14739" xr:uid="{90358834-AC6C-4E6F-BEB5-EDDCF2AC0414}"/>
    <cellStyle name="Currency 5 2 2 2 3 5 4" xfId="10521" xr:uid="{F189DCFC-F83E-43C5-83F8-5315A7081186}"/>
    <cellStyle name="Currency 5 2 2 2 3 6" xfId="2425" xr:uid="{00000000-0005-0000-0000-0000AC0B0000}"/>
    <cellStyle name="Currency 5 2 2 2 3 6 2" xfId="6710" xr:uid="{00000000-0005-0000-0000-0000AD0B0000}"/>
    <cellStyle name="Currency 5 2 2 2 3 6 2 2" xfId="15152" xr:uid="{00887071-294B-4B82-97EA-2DFFAA5F18A1}"/>
    <cellStyle name="Currency 5 2 2 2 3 6 3" xfId="10934" xr:uid="{FBCBC7BF-D3E7-42E4-8F32-5FD5A06A105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B452E115-A358-49A2-A090-75040D0BD54B}"/>
    <cellStyle name="Currency 5 2 2 2 3 8 3" xfId="11251" xr:uid="{58915EB0-D83E-4C42-B307-30B2EF07C207}"/>
    <cellStyle name="Currency 5 2 2 2 3 9" xfId="4644" xr:uid="{00000000-0005-0000-0000-0000B10B0000}"/>
    <cellStyle name="Currency 5 2 2 2 3 9 2" xfId="13086" xr:uid="{03292ED6-9397-491E-A2F0-C6AD14A4F64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69A02A10-FFFB-4483-9FBE-169874343AD8}"/>
    <cellStyle name="Currency 5 2 2 2 4 2 3" xfId="11424" xr:uid="{0F5995A6-BFAB-49C2-B182-245FE08E01DB}"/>
    <cellStyle name="Currency 5 2 2 2 4 3" xfId="5055" xr:uid="{00000000-0005-0000-0000-0000B50B0000}"/>
    <cellStyle name="Currency 5 2 2 2 4 3 2" xfId="13497" xr:uid="{0092917E-EB03-4E4D-ACFA-72F6CB6DFDDD}"/>
    <cellStyle name="Currency 5 2 2 2 4 4" xfId="9279" xr:uid="{D2877186-3322-4803-9D9E-C8D274252A5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1F7DBFD8-A31E-479B-A8CD-2828257F08FD}"/>
    <cellStyle name="Currency 5 2 2 2 5 2 3" xfId="11837" xr:uid="{C4E00174-A078-43C0-9B3F-FF3F058CA9BD}"/>
    <cellStyle name="Currency 5 2 2 2 5 3" xfId="5468" xr:uid="{00000000-0005-0000-0000-0000B90B0000}"/>
    <cellStyle name="Currency 5 2 2 2 5 3 2" xfId="13910" xr:uid="{E274A36E-08FA-4B03-A871-57C9F01CC4FD}"/>
    <cellStyle name="Currency 5 2 2 2 5 4" xfId="9692" xr:uid="{ACAD9150-C02A-4535-B247-6F132478F22E}"/>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D8A459A1-430A-4AB2-92FF-D874F8B262A1}"/>
    <cellStyle name="Currency 5 2 2 2 6 2 3" xfId="12250" xr:uid="{08BBCA03-16B0-46D1-8A42-E603ACFAAB3E}"/>
    <cellStyle name="Currency 5 2 2 2 6 3" xfId="5881" xr:uid="{00000000-0005-0000-0000-0000BD0B0000}"/>
    <cellStyle name="Currency 5 2 2 2 6 3 2" xfId="14323" xr:uid="{551F94B7-0557-402F-9B2D-0693943BA016}"/>
    <cellStyle name="Currency 5 2 2 2 6 4" xfId="10105" xr:uid="{73D0241E-5066-48E0-AF61-1D9E44A4CF2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60357DFD-49FD-4DA4-9127-9DF2FB98E41E}"/>
    <cellStyle name="Currency 5 2 2 2 7 2 3" xfId="12663" xr:uid="{982FCC77-A29B-4CD2-A66C-509B373F2568}"/>
    <cellStyle name="Currency 5 2 2 2 7 3" xfId="6294" xr:uid="{00000000-0005-0000-0000-0000C10B0000}"/>
    <cellStyle name="Currency 5 2 2 2 7 3 2" xfId="14736" xr:uid="{92081085-988C-4BF0-B6CC-C5AEBF6C7141}"/>
    <cellStyle name="Currency 5 2 2 2 7 4" xfId="10518" xr:uid="{82BADFB9-BD9D-4EE4-A60E-88A303C2B421}"/>
    <cellStyle name="Currency 5 2 2 2 8" xfId="2422" xr:uid="{00000000-0005-0000-0000-0000C20B0000}"/>
    <cellStyle name="Currency 5 2 2 2 8 2" xfId="6707" xr:uid="{00000000-0005-0000-0000-0000C30B0000}"/>
    <cellStyle name="Currency 5 2 2 2 8 2 2" xfId="15149" xr:uid="{77F8FF3A-BA78-4569-BD0B-32117F6873EF}"/>
    <cellStyle name="Currency 5 2 2 2 8 3" xfId="10931" xr:uid="{73D87F52-3FB8-4B1E-A3E2-2B70C611C503}"/>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7C718A17-E1F1-4FB9-81FE-F77B4698A7D7}"/>
    <cellStyle name="Currency 5 2 2 3 11" xfId="8869" xr:uid="{FF2B0ADA-1203-4131-BCFB-C4D0A6E4B996}"/>
    <cellStyle name="Currency 5 2 2 3 2" xfId="201" xr:uid="{00000000-0005-0000-0000-0000C70B0000}"/>
    <cellStyle name="Currency 5 2 2 3 2 10" xfId="8870" xr:uid="{FB8000AB-1152-481B-97A9-B12404A12A67}"/>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0F900B8F-84EC-470C-8D68-A257A18A4183}"/>
    <cellStyle name="Currency 5 2 2 3 2 2 2 3" xfId="11429" xr:uid="{811A6769-B19D-4CFE-90A3-9CF1521872D3}"/>
    <cellStyle name="Currency 5 2 2 3 2 2 3" xfId="5060" xr:uid="{00000000-0005-0000-0000-0000CB0B0000}"/>
    <cellStyle name="Currency 5 2 2 3 2 2 3 2" xfId="13502" xr:uid="{D253050A-85FA-4457-B9FA-17C195297066}"/>
    <cellStyle name="Currency 5 2 2 3 2 2 4" xfId="9284" xr:uid="{1C2504F8-023B-4837-A7AC-1B81AD0AFD7C}"/>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559E6EA9-417C-4D01-92AE-F77960F5B20A}"/>
    <cellStyle name="Currency 5 2 2 3 2 3 2 3" xfId="11842" xr:uid="{F7568FDA-05C5-43E7-9535-0BF0A845AEBA}"/>
    <cellStyle name="Currency 5 2 2 3 2 3 3" xfId="5473" xr:uid="{00000000-0005-0000-0000-0000CF0B0000}"/>
    <cellStyle name="Currency 5 2 2 3 2 3 3 2" xfId="13915" xr:uid="{D7FB37F3-6557-4B4F-9C46-553D9633D821}"/>
    <cellStyle name="Currency 5 2 2 3 2 3 4" xfId="9697" xr:uid="{40D463E8-3FC8-49AB-8FE0-8C296539479C}"/>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AA1C4A06-7375-4A02-915C-D777B1EAE1E8}"/>
    <cellStyle name="Currency 5 2 2 3 2 4 2 3" xfId="12255" xr:uid="{966AC576-15B1-4B4F-93ED-75B70EA55A41}"/>
    <cellStyle name="Currency 5 2 2 3 2 4 3" xfId="5886" xr:uid="{00000000-0005-0000-0000-0000D30B0000}"/>
    <cellStyle name="Currency 5 2 2 3 2 4 3 2" xfId="14328" xr:uid="{E84140F6-D144-4459-B2C7-6BD93209F09F}"/>
    <cellStyle name="Currency 5 2 2 3 2 4 4" xfId="10110" xr:uid="{5580F9C0-37DA-45CB-BA99-8D872E60899A}"/>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4968C7DB-0606-47C7-A317-DF703B7DB37E}"/>
    <cellStyle name="Currency 5 2 2 3 2 5 2 3" xfId="12668" xr:uid="{11FB5941-C4AA-4704-A4C8-BB931EA54E4C}"/>
    <cellStyle name="Currency 5 2 2 3 2 5 3" xfId="6299" xr:uid="{00000000-0005-0000-0000-0000D70B0000}"/>
    <cellStyle name="Currency 5 2 2 3 2 5 3 2" xfId="14741" xr:uid="{B1CDD614-AF07-42C5-883F-7AC527E311DE}"/>
    <cellStyle name="Currency 5 2 2 3 2 5 4" xfId="10523" xr:uid="{66608E8F-A1FE-4210-8BE0-F74A88E37F1C}"/>
    <cellStyle name="Currency 5 2 2 3 2 6" xfId="2427" xr:uid="{00000000-0005-0000-0000-0000D80B0000}"/>
    <cellStyle name="Currency 5 2 2 3 2 6 2" xfId="6712" xr:uid="{00000000-0005-0000-0000-0000D90B0000}"/>
    <cellStyle name="Currency 5 2 2 3 2 6 2 2" xfId="15154" xr:uid="{A4E98E2B-139B-47B0-8F84-C6FAFAA81960}"/>
    <cellStyle name="Currency 5 2 2 3 2 6 3" xfId="10936" xr:uid="{67558A89-47C9-4232-9DB6-7EEECE526AD4}"/>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1689DB4F-E67A-430B-9275-C23737A0C4F6}"/>
    <cellStyle name="Currency 5 2 2 3 2 8 3" xfId="11253" xr:uid="{B6A731FA-7B3A-46B7-9A74-D9275469F0E8}"/>
    <cellStyle name="Currency 5 2 2 3 2 9" xfId="4646" xr:uid="{00000000-0005-0000-0000-0000DD0B0000}"/>
    <cellStyle name="Currency 5 2 2 3 2 9 2" xfId="13088" xr:uid="{379D3110-2773-45CA-8527-FC2AADA42C3D}"/>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A6346A5A-4529-4424-B6E3-72C77CAF881F}"/>
    <cellStyle name="Currency 5 2 2 3 3 2 3" xfId="11428" xr:uid="{81AE1259-2A19-46A4-940C-A7571DA5B2F9}"/>
    <cellStyle name="Currency 5 2 2 3 3 3" xfId="5059" xr:uid="{00000000-0005-0000-0000-0000E10B0000}"/>
    <cellStyle name="Currency 5 2 2 3 3 3 2" xfId="13501" xr:uid="{A280E222-4F85-494A-855B-4A588B926BAF}"/>
    <cellStyle name="Currency 5 2 2 3 3 4" xfId="9283" xr:uid="{2624A31C-02D2-4CB0-929A-6F289D6994B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FC8844DD-77E0-4AFB-B7B9-3DD011383640}"/>
    <cellStyle name="Currency 5 2 2 3 4 2 3" xfId="11841" xr:uid="{800A9FA0-FA48-4B58-90D3-5F37B5FEF67B}"/>
    <cellStyle name="Currency 5 2 2 3 4 3" xfId="5472" xr:uid="{00000000-0005-0000-0000-0000E50B0000}"/>
    <cellStyle name="Currency 5 2 2 3 4 3 2" xfId="13914" xr:uid="{FD9E6CB5-8C22-430C-B94B-089A26B07765}"/>
    <cellStyle name="Currency 5 2 2 3 4 4" xfId="9696" xr:uid="{5826CBEE-3895-4225-B8E0-AA9DF871A4A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2E55EE3C-BCFA-48D3-944F-D4E326A5BB4F}"/>
    <cellStyle name="Currency 5 2 2 3 5 2 3" xfId="12254" xr:uid="{F14138C4-B8B1-4060-B390-142D22D91E3C}"/>
    <cellStyle name="Currency 5 2 2 3 5 3" xfId="5885" xr:uid="{00000000-0005-0000-0000-0000E90B0000}"/>
    <cellStyle name="Currency 5 2 2 3 5 3 2" xfId="14327" xr:uid="{FBB7E81E-18F1-4027-8B83-C43749FC320E}"/>
    <cellStyle name="Currency 5 2 2 3 5 4" xfId="10109" xr:uid="{01FD6AFC-2319-4F8E-9ABC-690FA933D4F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87983002-65C2-4968-A442-6B152E60BCC3}"/>
    <cellStyle name="Currency 5 2 2 3 6 2 3" xfId="12667" xr:uid="{3AB1E939-9FBA-441F-AF38-49116B3E8253}"/>
    <cellStyle name="Currency 5 2 2 3 6 3" xfId="6298" xr:uid="{00000000-0005-0000-0000-0000ED0B0000}"/>
    <cellStyle name="Currency 5 2 2 3 6 3 2" xfId="14740" xr:uid="{569EBF05-57BC-4C4F-AEB4-930939291D65}"/>
    <cellStyle name="Currency 5 2 2 3 6 4" xfId="10522" xr:uid="{8AB403E6-A89A-4E07-9182-09C58B07955B}"/>
    <cellStyle name="Currency 5 2 2 3 7" xfId="2426" xr:uid="{00000000-0005-0000-0000-0000EE0B0000}"/>
    <cellStyle name="Currency 5 2 2 3 7 2" xfId="6711" xr:uid="{00000000-0005-0000-0000-0000EF0B0000}"/>
    <cellStyle name="Currency 5 2 2 3 7 2 2" xfId="15153" xr:uid="{3F0C0182-8A8E-4861-B4A6-B20AA0111D3E}"/>
    <cellStyle name="Currency 5 2 2 3 7 3" xfId="10935" xr:uid="{738538A8-BE63-4B1F-B850-F54FA64F0D1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79E0EC88-202D-46D5-9EE9-16E00232AE2F}"/>
    <cellStyle name="Currency 5 2 2 3 9 3" xfId="11252" xr:uid="{FCA1EE54-A90A-4522-AA41-D56BC37F4F5A}"/>
    <cellStyle name="Currency 5 2 2 4" xfId="202" xr:uid="{00000000-0005-0000-0000-0000F30B0000}"/>
    <cellStyle name="Currency 5 2 2 4 10" xfId="8871" xr:uid="{8825BEBE-3679-415A-BDCE-04DD7C6B8CC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C6BF9DAE-5905-4DDB-9CBC-A25A354E36ED}"/>
    <cellStyle name="Currency 5 2 2 4 2 2 3" xfId="11430" xr:uid="{9D269CD8-D6D6-486E-BCBC-7245608D829D}"/>
    <cellStyle name="Currency 5 2 2 4 2 3" xfId="5061" xr:uid="{00000000-0005-0000-0000-0000F70B0000}"/>
    <cellStyle name="Currency 5 2 2 4 2 3 2" xfId="13503" xr:uid="{F322E694-9E97-42C9-968F-1C797380551C}"/>
    <cellStyle name="Currency 5 2 2 4 2 4" xfId="9285" xr:uid="{51ADDCD1-EEC0-4281-A634-A9DD9961DD9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6753D722-79D6-4289-BB87-95093D4C6B64}"/>
    <cellStyle name="Currency 5 2 2 4 3 2 3" xfId="11843" xr:uid="{D24E8F84-29F7-43C6-A389-BAC569FBBE78}"/>
    <cellStyle name="Currency 5 2 2 4 3 3" xfId="5474" xr:uid="{00000000-0005-0000-0000-0000FB0B0000}"/>
    <cellStyle name="Currency 5 2 2 4 3 3 2" xfId="13916" xr:uid="{DDF77D68-3E14-43BE-BFF0-5D9D3151AB8B}"/>
    <cellStyle name="Currency 5 2 2 4 3 4" xfId="9698" xr:uid="{E15A8E2A-02B8-44A1-97A3-3690FE6F9EDE}"/>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ED1FE182-7A62-4AD9-BCA3-615889CBB7FE}"/>
    <cellStyle name="Currency 5 2 2 4 4 2 3" xfId="12256" xr:uid="{6BDDFF3F-7CDB-40D0-88C7-EE8B21253F1F}"/>
    <cellStyle name="Currency 5 2 2 4 4 3" xfId="5887" xr:uid="{00000000-0005-0000-0000-0000FF0B0000}"/>
    <cellStyle name="Currency 5 2 2 4 4 3 2" xfId="14329" xr:uid="{39C17DC8-A592-407C-9642-FCBA6B510B0D}"/>
    <cellStyle name="Currency 5 2 2 4 4 4" xfId="10111" xr:uid="{1731ADEB-E3BE-45FA-8025-C869169C386C}"/>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4C01874E-9F9A-4F9A-8FDA-5D3193C132EF}"/>
    <cellStyle name="Currency 5 2 2 4 5 2 3" xfId="12669" xr:uid="{ED540EA0-DB66-4152-9AFF-9EF4CD521188}"/>
    <cellStyle name="Currency 5 2 2 4 5 3" xfId="6300" xr:uid="{00000000-0005-0000-0000-0000030C0000}"/>
    <cellStyle name="Currency 5 2 2 4 5 3 2" xfId="14742" xr:uid="{31C030FC-21E8-49DA-9603-E0883E742387}"/>
    <cellStyle name="Currency 5 2 2 4 5 4" xfId="10524" xr:uid="{18C0C2FE-24E4-44F4-AB8A-16FD92718D36}"/>
    <cellStyle name="Currency 5 2 2 4 6" xfId="2428" xr:uid="{00000000-0005-0000-0000-0000040C0000}"/>
    <cellStyle name="Currency 5 2 2 4 6 2" xfId="6713" xr:uid="{00000000-0005-0000-0000-0000050C0000}"/>
    <cellStyle name="Currency 5 2 2 4 6 2 2" xfId="15155" xr:uid="{3C9E5AE9-4A17-4B63-8A17-8D84EDAF1EC4}"/>
    <cellStyle name="Currency 5 2 2 4 6 3" xfId="10937" xr:uid="{4CF2DBDE-E237-4687-B61C-BA034B2539AA}"/>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38D3D6FB-2E92-4578-BDB6-BF446C91AE4E}"/>
    <cellStyle name="Currency 5 2 2 4 8 3" xfId="11254" xr:uid="{2562AF4A-97CA-4D02-BBD5-8C502B9A0A85}"/>
    <cellStyle name="Currency 5 2 2 4 9" xfId="4647" xr:uid="{00000000-0005-0000-0000-0000090C0000}"/>
    <cellStyle name="Currency 5 2 2 4 9 2" xfId="13089" xr:uid="{026CEC77-63F5-46B5-8A4C-FDEBAB30BEBC}"/>
    <cellStyle name="Currency 5 2 2 5" xfId="203" xr:uid="{00000000-0005-0000-0000-00000A0C0000}"/>
    <cellStyle name="Currency 5 2 2 5 10" xfId="8872" xr:uid="{F8F65550-75E8-4037-929F-BEC579943D15}"/>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908B6E77-EE6B-4B73-B9D3-89AB78BB47B9}"/>
    <cellStyle name="Currency 5 2 2 5 2 2 3" xfId="11431" xr:uid="{F41CB263-1861-4A05-BB44-4F8A2714F4D1}"/>
    <cellStyle name="Currency 5 2 2 5 2 3" xfId="5062" xr:uid="{00000000-0005-0000-0000-00000E0C0000}"/>
    <cellStyle name="Currency 5 2 2 5 2 3 2" xfId="13504" xr:uid="{088EC27B-A8D5-4187-AF73-7A6A0FF4EF9C}"/>
    <cellStyle name="Currency 5 2 2 5 2 4" xfId="9286" xr:uid="{D619CE08-99C4-4E19-8288-47988B41555D}"/>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63CF5651-5CC3-40DB-8519-E62B79EA34A3}"/>
    <cellStyle name="Currency 5 2 2 5 3 2 3" xfId="11844" xr:uid="{6CE9B974-A16A-4D0B-9A49-49CA4FDA35F2}"/>
    <cellStyle name="Currency 5 2 2 5 3 3" xfId="5475" xr:uid="{00000000-0005-0000-0000-0000120C0000}"/>
    <cellStyle name="Currency 5 2 2 5 3 3 2" xfId="13917" xr:uid="{306C9A4B-C647-482E-A0F9-C311688E7EBF}"/>
    <cellStyle name="Currency 5 2 2 5 3 4" xfId="9699" xr:uid="{76B2A303-BD7C-43C7-9E52-87DC75E0464F}"/>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53AE14A1-D8FC-428E-9FB5-CBAD035D94F4}"/>
    <cellStyle name="Currency 5 2 2 5 4 2 3" xfId="12257" xr:uid="{0BF189F0-6115-4B80-BA34-16BD616A8F00}"/>
    <cellStyle name="Currency 5 2 2 5 4 3" xfId="5888" xr:uid="{00000000-0005-0000-0000-0000160C0000}"/>
    <cellStyle name="Currency 5 2 2 5 4 3 2" xfId="14330" xr:uid="{4F3724A0-5F44-4543-8C02-CF08E2119B6E}"/>
    <cellStyle name="Currency 5 2 2 5 4 4" xfId="10112" xr:uid="{018A701E-27CA-42D1-BF7D-B79A7D4B42DD}"/>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84352CDB-64F8-458F-9DDE-4937DA0CE11D}"/>
    <cellStyle name="Currency 5 2 2 5 5 2 3" xfId="12670" xr:uid="{337A69A0-7C90-486B-B92C-30B296EF2744}"/>
    <cellStyle name="Currency 5 2 2 5 5 3" xfId="6301" xr:uid="{00000000-0005-0000-0000-00001A0C0000}"/>
    <cellStyle name="Currency 5 2 2 5 5 3 2" xfId="14743" xr:uid="{A5012A0F-3DE0-4786-8AE6-5986289AC761}"/>
    <cellStyle name="Currency 5 2 2 5 5 4" xfId="10525" xr:uid="{64034F95-6033-4990-998F-182C2C1169B9}"/>
    <cellStyle name="Currency 5 2 2 5 6" xfId="2429" xr:uid="{00000000-0005-0000-0000-00001B0C0000}"/>
    <cellStyle name="Currency 5 2 2 5 6 2" xfId="6714" xr:uid="{00000000-0005-0000-0000-00001C0C0000}"/>
    <cellStyle name="Currency 5 2 2 5 6 2 2" xfId="15156" xr:uid="{7E10BB3E-FA50-44EB-93B7-78C9AD2EF5C7}"/>
    <cellStyle name="Currency 5 2 2 5 6 3" xfId="10938" xr:uid="{D1C7043D-CE5A-4FC9-83A7-D2FDFB806D2F}"/>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E3C8779E-7E63-49D1-95E3-7888DEDD0A69}"/>
    <cellStyle name="Currency 5 2 2 5 8 3" xfId="11255" xr:uid="{EFAD978F-5350-414A-9FAF-D8662D99DEC4}"/>
    <cellStyle name="Currency 5 2 2 5 9" xfId="4648" xr:uid="{00000000-0005-0000-0000-0000200C0000}"/>
    <cellStyle name="Currency 5 2 2 5 9 2" xfId="13090" xr:uid="{0C2C7497-8D66-49AA-9BC3-AC307CF0460E}"/>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067D4152-51FA-4E51-B1D2-62693707010B}"/>
    <cellStyle name="Currency 5 2 4 11" xfId="8873" xr:uid="{E54C491D-A4C0-45F0-8553-9FE99E114574}"/>
    <cellStyle name="Currency 5 2 4 2" xfId="206" xr:uid="{00000000-0005-0000-0000-0000250C0000}"/>
    <cellStyle name="Currency 5 2 4 2 10" xfId="8874" xr:uid="{CDC39B66-2E75-4860-9324-BD83A501E6E3}"/>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7AF5A83-6837-4F01-A5D6-FAB1C9BBC90D}"/>
    <cellStyle name="Currency 5 2 4 2 2 2 3" xfId="11433" xr:uid="{D3D1185D-A008-4493-91DC-5C28F9956C4B}"/>
    <cellStyle name="Currency 5 2 4 2 2 3" xfId="5064" xr:uid="{00000000-0005-0000-0000-0000290C0000}"/>
    <cellStyle name="Currency 5 2 4 2 2 3 2" xfId="13506" xr:uid="{99F1E980-CDD7-404C-AF58-D9A145BAA8AA}"/>
    <cellStyle name="Currency 5 2 4 2 2 4" xfId="9288" xr:uid="{46938604-ED4F-44AD-96F2-69E14D695737}"/>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EF425C69-5F2A-42EF-B489-84F888FE232D}"/>
    <cellStyle name="Currency 5 2 4 2 3 2 3" xfId="11846" xr:uid="{0708C11B-EA6C-46EB-A63E-0A1968341CBD}"/>
    <cellStyle name="Currency 5 2 4 2 3 3" xfId="5477" xr:uid="{00000000-0005-0000-0000-00002D0C0000}"/>
    <cellStyle name="Currency 5 2 4 2 3 3 2" xfId="13919" xr:uid="{112660E4-07C6-4EBC-A8DC-C2F536B1C69A}"/>
    <cellStyle name="Currency 5 2 4 2 3 4" xfId="9701" xr:uid="{ABF55A23-6A52-4857-A9F4-98954F2A39E7}"/>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D50BD17C-D404-4765-AD9D-9D8C3A25E78F}"/>
    <cellStyle name="Currency 5 2 4 2 4 2 3" xfId="12259" xr:uid="{A282D0A5-E967-493C-9E2A-8060F84464B2}"/>
    <cellStyle name="Currency 5 2 4 2 4 3" xfId="5890" xr:uid="{00000000-0005-0000-0000-0000310C0000}"/>
    <cellStyle name="Currency 5 2 4 2 4 3 2" xfId="14332" xr:uid="{BB13F19E-591B-46B5-83E2-D5574FF0E23D}"/>
    <cellStyle name="Currency 5 2 4 2 4 4" xfId="10114" xr:uid="{60249D9F-2175-4E25-B58E-676699144028}"/>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F9CD8017-F8A0-4BAE-93BD-7F404F2CAF8E}"/>
    <cellStyle name="Currency 5 2 4 2 5 2 3" xfId="12672" xr:uid="{B39A1A60-69B7-410D-B7BC-F43F11D88C1E}"/>
    <cellStyle name="Currency 5 2 4 2 5 3" xfId="6303" xr:uid="{00000000-0005-0000-0000-0000350C0000}"/>
    <cellStyle name="Currency 5 2 4 2 5 3 2" xfId="14745" xr:uid="{4E21C962-8867-4F5E-827A-EBE97388C06D}"/>
    <cellStyle name="Currency 5 2 4 2 5 4" xfId="10527" xr:uid="{0DC3691E-9784-4C4F-A7C0-7E9FE2293BC9}"/>
    <cellStyle name="Currency 5 2 4 2 6" xfId="2431" xr:uid="{00000000-0005-0000-0000-0000360C0000}"/>
    <cellStyle name="Currency 5 2 4 2 6 2" xfId="6716" xr:uid="{00000000-0005-0000-0000-0000370C0000}"/>
    <cellStyle name="Currency 5 2 4 2 6 2 2" xfId="15158" xr:uid="{170FC37E-BAED-4076-B0D3-4C769F710C50}"/>
    <cellStyle name="Currency 5 2 4 2 6 3" xfId="10940" xr:uid="{6E4D75C9-01E5-4F72-8211-2926EDC0203A}"/>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D9FD52D0-77C6-4EEB-8448-3C1F7E78403F}"/>
    <cellStyle name="Currency 5 2 4 2 8 3" xfId="11257" xr:uid="{3602CD1A-DB80-4C60-B1E9-434C19EBA5E0}"/>
    <cellStyle name="Currency 5 2 4 2 9" xfId="4650" xr:uid="{00000000-0005-0000-0000-00003B0C0000}"/>
    <cellStyle name="Currency 5 2 4 2 9 2" xfId="13092" xr:uid="{19A7647A-6469-4D0D-9BCC-ADEF777677D8}"/>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F2FC66B3-F9A7-4772-A3F2-905888682DE8}"/>
    <cellStyle name="Currency 5 2 4 3 2 3" xfId="11432" xr:uid="{3D919286-B2DB-44F3-81E2-BAFC210339BC}"/>
    <cellStyle name="Currency 5 2 4 3 3" xfId="5063" xr:uid="{00000000-0005-0000-0000-00003F0C0000}"/>
    <cellStyle name="Currency 5 2 4 3 3 2" xfId="13505" xr:uid="{1973F8B8-3E81-4BF0-92D3-E0F82D5B1E57}"/>
    <cellStyle name="Currency 5 2 4 3 4" xfId="9287" xr:uid="{AE4A121B-AFB2-4716-93CC-A4BA6D9E7B1D}"/>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D158044C-7637-450A-BE64-6D0974A5DDE8}"/>
    <cellStyle name="Currency 5 2 4 4 2 3" xfId="11845" xr:uid="{C6C6D188-2BF4-4DDD-9B55-EE2B55830B9C}"/>
    <cellStyle name="Currency 5 2 4 4 3" xfId="5476" xr:uid="{00000000-0005-0000-0000-0000430C0000}"/>
    <cellStyle name="Currency 5 2 4 4 3 2" xfId="13918" xr:uid="{E87D03F9-BC1C-4041-9FD3-683D26FE753A}"/>
    <cellStyle name="Currency 5 2 4 4 4" xfId="9700" xr:uid="{7D76E7D7-7422-4F1E-8B3C-6D62B4FA803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2CECC992-A70D-4CAE-92F9-A7314AF22FF7}"/>
    <cellStyle name="Currency 5 2 4 5 2 3" xfId="12258" xr:uid="{78768053-54A3-43E1-9003-F04E3C8D1048}"/>
    <cellStyle name="Currency 5 2 4 5 3" xfId="5889" xr:uid="{00000000-0005-0000-0000-0000470C0000}"/>
    <cellStyle name="Currency 5 2 4 5 3 2" xfId="14331" xr:uid="{19319661-4196-4619-855E-4A161AC3112B}"/>
    <cellStyle name="Currency 5 2 4 5 4" xfId="10113" xr:uid="{D49482D8-5BD7-4BB5-82C1-15DED19191DB}"/>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29AEBE3D-625B-4475-A1C4-8674DCA39AAF}"/>
    <cellStyle name="Currency 5 2 4 6 2 3" xfId="12671" xr:uid="{1FF4DDBA-2B9E-4DE8-8C51-8013DE69F2FA}"/>
    <cellStyle name="Currency 5 2 4 6 3" xfId="6302" xr:uid="{00000000-0005-0000-0000-00004B0C0000}"/>
    <cellStyle name="Currency 5 2 4 6 3 2" xfId="14744" xr:uid="{11BA4650-9A4A-4B01-8449-1C8439AD4EF4}"/>
    <cellStyle name="Currency 5 2 4 6 4" xfId="10526" xr:uid="{2913D193-8BE9-4B91-A71A-DC2C447FA953}"/>
    <cellStyle name="Currency 5 2 4 7" xfId="2430" xr:uid="{00000000-0005-0000-0000-00004C0C0000}"/>
    <cellStyle name="Currency 5 2 4 7 2" xfId="6715" xr:uid="{00000000-0005-0000-0000-00004D0C0000}"/>
    <cellStyle name="Currency 5 2 4 7 2 2" xfId="15157" xr:uid="{1082C224-387E-4680-948E-EE30550E9F81}"/>
    <cellStyle name="Currency 5 2 4 7 3" xfId="10939" xr:uid="{449726AE-3BD2-4FBF-A288-EFA9C20D4B7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AC46787D-B3C3-47F2-ABAA-9FB49102B60D}"/>
    <cellStyle name="Currency 5 2 4 9 3" xfId="11256" xr:uid="{5C4F0EBF-FA93-44A2-82B1-1B19A0BBD8AF}"/>
    <cellStyle name="Currency 5 2 5" xfId="207" xr:uid="{00000000-0005-0000-0000-0000510C0000}"/>
    <cellStyle name="Currency 5 2 5 10" xfId="8875" xr:uid="{ED56C551-803B-4097-B43D-83206C08D975}"/>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17C8CFA5-AD79-48EA-B5FF-BFD32CDCB6B3}"/>
    <cellStyle name="Currency 5 2 5 2 2 3" xfId="11434" xr:uid="{8F95163C-3C7E-44DF-8ED6-B3B3822A624E}"/>
    <cellStyle name="Currency 5 2 5 2 3" xfId="5065" xr:uid="{00000000-0005-0000-0000-0000550C0000}"/>
    <cellStyle name="Currency 5 2 5 2 3 2" xfId="13507" xr:uid="{900F0EAE-6CDD-49DC-A239-F931F47BB7A1}"/>
    <cellStyle name="Currency 5 2 5 2 4" xfId="9289" xr:uid="{F2ACFD4F-805F-42C6-9EDF-0CD5031AE53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F02B43F9-C148-4481-BB66-C6FECF85199B}"/>
    <cellStyle name="Currency 5 2 5 3 2 3" xfId="11847" xr:uid="{1B1116AA-5454-4C72-BBD6-856752D5068E}"/>
    <cellStyle name="Currency 5 2 5 3 3" xfId="5478" xr:uid="{00000000-0005-0000-0000-0000590C0000}"/>
    <cellStyle name="Currency 5 2 5 3 3 2" xfId="13920" xr:uid="{1594207F-41C7-400B-A01A-B1CBD406659C}"/>
    <cellStyle name="Currency 5 2 5 3 4" xfId="9702" xr:uid="{D10C9F1D-7776-46CF-8A8F-62FDFB0911FC}"/>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9E514B83-C3C4-426F-A667-EF4A84175263}"/>
    <cellStyle name="Currency 5 2 5 4 2 3" xfId="12260" xr:uid="{9C8FF50E-2C2A-497E-854C-6AA104AC54D3}"/>
    <cellStyle name="Currency 5 2 5 4 3" xfId="5891" xr:uid="{00000000-0005-0000-0000-00005D0C0000}"/>
    <cellStyle name="Currency 5 2 5 4 3 2" xfId="14333" xr:uid="{9FAF9B98-3796-41FA-B4A1-E8737767CC8B}"/>
    <cellStyle name="Currency 5 2 5 4 4" xfId="10115" xr:uid="{07D59A61-D6E4-4912-8471-73EA8162024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C3C5677D-5415-4542-90D8-0548D2D919E2}"/>
    <cellStyle name="Currency 5 2 5 5 2 3" xfId="12673" xr:uid="{AC425317-BDE5-4EF2-9C0B-755E3DFF984C}"/>
    <cellStyle name="Currency 5 2 5 5 3" xfId="6304" xr:uid="{00000000-0005-0000-0000-0000610C0000}"/>
    <cellStyle name="Currency 5 2 5 5 3 2" xfId="14746" xr:uid="{B40C739A-A1E6-43A0-ADAB-5853075A314D}"/>
    <cellStyle name="Currency 5 2 5 5 4" xfId="10528" xr:uid="{5294977B-6C24-4134-9B0B-9B79F9180266}"/>
    <cellStyle name="Currency 5 2 5 6" xfId="2432" xr:uid="{00000000-0005-0000-0000-0000620C0000}"/>
    <cellStyle name="Currency 5 2 5 6 2" xfId="6717" xr:uid="{00000000-0005-0000-0000-0000630C0000}"/>
    <cellStyle name="Currency 5 2 5 6 2 2" xfId="15159" xr:uid="{B70DCD3A-224F-4DAB-B88E-C7E4341BA543}"/>
    <cellStyle name="Currency 5 2 5 6 3" xfId="10941" xr:uid="{F6347134-1FB8-4987-BDFB-B0BFD4BA7F9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860CEE58-CDD9-4E70-A1DA-929058A6077E}"/>
    <cellStyle name="Currency 5 2 5 8 3" xfId="11258" xr:uid="{77663988-7C34-4913-96E8-D2F0A3E94F0B}"/>
    <cellStyle name="Currency 5 2 5 9" xfId="4651" xr:uid="{00000000-0005-0000-0000-0000670C0000}"/>
    <cellStyle name="Currency 5 2 5 9 2" xfId="13093" xr:uid="{0744347F-017B-4BE7-9FC2-3776281DBC86}"/>
    <cellStyle name="Currency 5 2 6" xfId="208" xr:uid="{00000000-0005-0000-0000-0000680C0000}"/>
    <cellStyle name="Currency 5 2 6 10" xfId="8876" xr:uid="{35143596-5AA1-4D9A-80E3-C6DEDCEDA4CA}"/>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62E14D65-5F96-425C-87D5-3A37C955A5B6}"/>
    <cellStyle name="Currency 5 2 6 2 2 3" xfId="11435" xr:uid="{9A28B17B-4156-45DC-AEA2-4190B84C8F12}"/>
    <cellStyle name="Currency 5 2 6 2 3" xfId="5066" xr:uid="{00000000-0005-0000-0000-00006C0C0000}"/>
    <cellStyle name="Currency 5 2 6 2 3 2" xfId="13508" xr:uid="{37D8B370-D4C0-4B96-9759-46EC50EB2704}"/>
    <cellStyle name="Currency 5 2 6 2 4" xfId="9290" xr:uid="{F70C3DD5-4D8D-4207-A967-6346EC2AF2CD}"/>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75C0B7E8-AAF2-4598-ABF6-2E356CEB141F}"/>
    <cellStyle name="Currency 5 2 6 3 2 3" xfId="11848" xr:uid="{26A9AC99-6AB4-4D59-859C-0BDE40BC7FAB}"/>
    <cellStyle name="Currency 5 2 6 3 3" xfId="5479" xr:uid="{00000000-0005-0000-0000-0000700C0000}"/>
    <cellStyle name="Currency 5 2 6 3 3 2" xfId="13921" xr:uid="{75959ECE-8289-429B-816D-985CA582F856}"/>
    <cellStyle name="Currency 5 2 6 3 4" xfId="9703" xr:uid="{13897D4F-1A89-454E-82AC-6BE3B61D5436}"/>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ED9BD664-EC55-49DB-8388-A8259E9661A1}"/>
    <cellStyle name="Currency 5 2 6 4 2 3" xfId="12261" xr:uid="{E1FF180A-9C6F-4F66-9EC2-E495B63DCB59}"/>
    <cellStyle name="Currency 5 2 6 4 3" xfId="5892" xr:uid="{00000000-0005-0000-0000-0000740C0000}"/>
    <cellStyle name="Currency 5 2 6 4 3 2" xfId="14334" xr:uid="{1C8CA145-1550-49F9-91FB-6C212627E8BA}"/>
    <cellStyle name="Currency 5 2 6 4 4" xfId="10116" xr:uid="{A5DE7B56-D1B1-4FA5-913C-4593113B31DD}"/>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C29C5BB-8B2E-4ECC-B52C-371430D682F7}"/>
    <cellStyle name="Currency 5 2 6 5 2 3" xfId="12674" xr:uid="{0C4EA4F2-D616-4F51-BE7E-5026651184B8}"/>
    <cellStyle name="Currency 5 2 6 5 3" xfId="6305" xr:uid="{00000000-0005-0000-0000-0000780C0000}"/>
    <cellStyle name="Currency 5 2 6 5 3 2" xfId="14747" xr:uid="{4182359B-F3C3-4558-A95D-4177687B5DA4}"/>
    <cellStyle name="Currency 5 2 6 5 4" xfId="10529" xr:uid="{16A710A9-60E8-44A2-BACD-AEC4A06B22B7}"/>
    <cellStyle name="Currency 5 2 6 6" xfId="2433" xr:uid="{00000000-0005-0000-0000-0000790C0000}"/>
    <cellStyle name="Currency 5 2 6 6 2" xfId="6718" xr:uid="{00000000-0005-0000-0000-00007A0C0000}"/>
    <cellStyle name="Currency 5 2 6 6 2 2" xfId="15160" xr:uid="{8397A97E-E0DE-4418-A82E-0CDF8A141D4A}"/>
    <cellStyle name="Currency 5 2 6 6 3" xfId="10942" xr:uid="{F9BEDD02-0191-40AD-BF45-FE687B5375BB}"/>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71A2D6FF-9E76-4EEE-95A3-9AB78E317334}"/>
    <cellStyle name="Currency 5 2 6 8 3" xfId="11259" xr:uid="{A7E51B9F-1C20-497D-BDFE-9E6C66973FBE}"/>
    <cellStyle name="Currency 5 2 6 9" xfId="4652" xr:uid="{00000000-0005-0000-0000-00007E0C0000}"/>
    <cellStyle name="Currency 5 2 6 9 2" xfId="13094" xr:uid="{6F4DE385-510F-4984-A778-575266A67148}"/>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1FF52B77-AE5F-494F-B775-A9B9990F1FA8}"/>
    <cellStyle name="Currency 5 3 2 10 3" xfId="11260" xr:uid="{1A70A091-00B4-454B-97BE-C68CBB7ABFF5}"/>
    <cellStyle name="Currency 5 3 2 11" xfId="4653" xr:uid="{00000000-0005-0000-0000-0000840C0000}"/>
    <cellStyle name="Currency 5 3 2 11 2" xfId="13095" xr:uid="{54850723-E19D-4F08-B6A4-D347DB94038C}"/>
    <cellStyle name="Currency 5 3 2 12" xfId="8877" xr:uid="{940785A8-39B3-4FC2-BF0A-104C4061D910}"/>
    <cellStyle name="Currency 5 3 2 2" xfId="211" xr:uid="{00000000-0005-0000-0000-0000850C0000}"/>
    <cellStyle name="Currency 5 3 2 2 10" xfId="4654" xr:uid="{00000000-0005-0000-0000-0000860C0000}"/>
    <cellStyle name="Currency 5 3 2 2 10 2" xfId="13096" xr:uid="{02E53845-8C79-49AA-85F8-F647EB8A0E66}"/>
    <cellStyle name="Currency 5 3 2 2 11" xfId="8878" xr:uid="{0D594A0A-ADE1-4B0C-AD21-4EFD2E1AB57F}"/>
    <cellStyle name="Currency 5 3 2 2 2" xfId="212" xr:uid="{00000000-0005-0000-0000-0000870C0000}"/>
    <cellStyle name="Currency 5 3 2 2 2 10" xfId="8879" xr:uid="{AB202319-585C-4DBA-97B2-638477FFD8F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788B219F-3803-422E-8104-B4953222BEEC}"/>
    <cellStyle name="Currency 5 3 2 2 2 2 2 3" xfId="11438" xr:uid="{2BA9B16E-F221-4F1D-8720-495B02118A50}"/>
    <cellStyle name="Currency 5 3 2 2 2 2 3" xfId="5069" xr:uid="{00000000-0005-0000-0000-00008B0C0000}"/>
    <cellStyle name="Currency 5 3 2 2 2 2 3 2" xfId="13511" xr:uid="{310544BD-D245-4FC3-B471-AC4ADB692455}"/>
    <cellStyle name="Currency 5 3 2 2 2 2 4" xfId="9293" xr:uid="{78DC387C-B46B-4DA6-94E6-7A06EC2D8349}"/>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6100F4BE-FBF5-4290-A273-377DDF3B1BE5}"/>
    <cellStyle name="Currency 5 3 2 2 2 3 2 3" xfId="11851" xr:uid="{DF184160-40A3-4226-9686-1429B82383C4}"/>
    <cellStyle name="Currency 5 3 2 2 2 3 3" xfId="5482" xr:uid="{00000000-0005-0000-0000-00008F0C0000}"/>
    <cellStyle name="Currency 5 3 2 2 2 3 3 2" xfId="13924" xr:uid="{67C61672-779A-4BBB-A5BB-4F0ECFC9A87F}"/>
    <cellStyle name="Currency 5 3 2 2 2 3 4" xfId="9706" xr:uid="{F25ED358-9596-409F-8A06-A20C5EFC5E24}"/>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6A035050-9163-4A42-8D4F-31F64AFD78D2}"/>
    <cellStyle name="Currency 5 3 2 2 2 4 2 3" xfId="12264" xr:uid="{0202DCFA-CED2-4927-BDEE-BA5B2F26429E}"/>
    <cellStyle name="Currency 5 3 2 2 2 4 3" xfId="5895" xr:uid="{00000000-0005-0000-0000-0000930C0000}"/>
    <cellStyle name="Currency 5 3 2 2 2 4 3 2" xfId="14337" xr:uid="{970A56FC-D678-4066-BF43-7C04F6A71B87}"/>
    <cellStyle name="Currency 5 3 2 2 2 4 4" xfId="10119" xr:uid="{F5317223-3347-4C80-8FE7-775E0DBD7C76}"/>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62B7D6CA-17C2-4826-8D49-45840DBE2B5E}"/>
    <cellStyle name="Currency 5 3 2 2 2 5 2 3" xfId="12677" xr:uid="{F823C3B6-2119-4537-B795-5A56DB8607F4}"/>
    <cellStyle name="Currency 5 3 2 2 2 5 3" xfId="6308" xr:uid="{00000000-0005-0000-0000-0000970C0000}"/>
    <cellStyle name="Currency 5 3 2 2 2 5 3 2" xfId="14750" xr:uid="{E39437CA-03A2-4F58-9686-E5E175575844}"/>
    <cellStyle name="Currency 5 3 2 2 2 5 4" xfId="10532" xr:uid="{E3190F2C-29CD-46D8-A94C-7B1200DD8DFD}"/>
    <cellStyle name="Currency 5 3 2 2 2 6" xfId="2436" xr:uid="{00000000-0005-0000-0000-0000980C0000}"/>
    <cellStyle name="Currency 5 3 2 2 2 6 2" xfId="6721" xr:uid="{00000000-0005-0000-0000-0000990C0000}"/>
    <cellStyle name="Currency 5 3 2 2 2 6 2 2" xfId="15163" xr:uid="{6761576C-7539-4104-8595-32644551F1DB}"/>
    <cellStyle name="Currency 5 3 2 2 2 6 3" xfId="10945" xr:uid="{7BFF90D3-4027-4300-8A25-F1DD58AF57E8}"/>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056C972C-0B17-41D8-AF2C-2D17E76EB47A}"/>
    <cellStyle name="Currency 5 3 2 2 2 8 3" xfId="11262" xr:uid="{3FCCF1FC-9273-49CD-A62C-3D49D844FF72}"/>
    <cellStyle name="Currency 5 3 2 2 2 9" xfId="4655" xr:uid="{00000000-0005-0000-0000-00009D0C0000}"/>
    <cellStyle name="Currency 5 3 2 2 2 9 2" xfId="13097" xr:uid="{C2BCA9E6-FB0D-48C2-AB00-449182B61CDC}"/>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2DE96EF3-AF70-466C-8E0A-BBB1D9A16CD4}"/>
    <cellStyle name="Currency 5 3 2 2 3 2 3" xfId="11437" xr:uid="{2E468DA0-ED77-4E0E-8352-9FCE7BFB2520}"/>
    <cellStyle name="Currency 5 3 2 2 3 3" xfId="5068" xr:uid="{00000000-0005-0000-0000-0000A10C0000}"/>
    <cellStyle name="Currency 5 3 2 2 3 3 2" xfId="13510" xr:uid="{6F13E26C-C300-4254-A954-EC91DC2C22B9}"/>
    <cellStyle name="Currency 5 3 2 2 3 4" xfId="9292" xr:uid="{B05BAE7E-CC7B-4639-B380-2B26D1B08C0D}"/>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3BD6570B-4BAC-4A87-9357-E4A072CE174C}"/>
    <cellStyle name="Currency 5 3 2 2 4 2 3" xfId="11850" xr:uid="{8F434CA4-CF41-41D8-8BE3-84ED66634BD1}"/>
    <cellStyle name="Currency 5 3 2 2 4 3" xfId="5481" xr:uid="{00000000-0005-0000-0000-0000A50C0000}"/>
    <cellStyle name="Currency 5 3 2 2 4 3 2" xfId="13923" xr:uid="{0FF0D65E-51C8-4518-B503-BFF2F31B5C34}"/>
    <cellStyle name="Currency 5 3 2 2 4 4" xfId="9705" xr:uid="{9F0B5B0E-67E3-46F1-B23F-D3630EFEEC8A}"/>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E13A9DC2-2FA6-4BA6-A5F7-7FE7CE20A1B4}"/>
    <cellStyle name="Currency 5 3 2 2 5 2 3" xfId="12263" xr:uid="{D02EE545-C573-4ACA-8E5B-74C3E8E1409F}"/>
    <cellStyle name="Currency 5 3 2 2 5 3" xfId="5894" xr:uid="{00000000-0005-0000-0000-0000A90C0000}"/>
    <cellStyle name="Currency 5 3 2 2 5 3 2" xfId="14336" xr:uid="{96DC3CE8-2019-400B-8FEE-65497744BD72}"/>
    <cellStyle name="Currency 5 3 2 2 5 4" xfId="10118" xr:uid="{CDF1C86B-CB25-4FBD-8BF5-D9B5B1463B92}"/>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94607669-6913-433E-882D-810AF376205B}"/>
    <cellStyle name="Currency 5 3 2 2 6 2 3" xfId="12676" xr:uid="{341293B2-9E71-4A74-B5AA-31E69C87D524}"/>
    <cellStyle name="Currency 5 3 2 2 6 3" xfId="6307" xr:uid="{00000000-0005-0000-0000-0000AD0C0000}"/>
    <cellStyle name="Currency 5 3 2 2 6 3 2" xfId="14749" xr:uid="{EAB33D9C-7720-475A-8E15-31478AA9C05C}"/>
    <cellStyle name="Currency 5 3 2 2 6 4" xfId="10531" xr:uid="{51937F89-6015-4225-B9EC-9C8E5D176F5E}"/>
    <cellStyle name="Currency 5 3 2 2 7" xfId="2435" xr:uid="{00000000-0005-0000-0000-0000AE0C0000}"/>
    <cellStyle name="Currency 5 3 2 2 7 2" xfId="6720" xr:uid="{00000000-0005-0000-0000-0000AF0C0000}"/>
    <cellStyle name="Currency 5 3 2 2 7 2 2" xfId="15162" xr:uid="{8F4C9572-55E5-4264-B9CD-ED3A41E9F6A5}"/>
    <cellStyle name="Currency 5 3 2 2 7 3" xfId="10944" xr:uid="{B6D6D4AD-BD44-4641-BB21-52286FA57DA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897A0BA8-6253-4DCD-A777-DFA944658AE0}"/>
    <cellStyle name="Currency 5 3 2 2 9 3" xfId="11261" xr:uid="{858863CC-5240-4484-8539-D038716AC986}"/>
    <cellStyle name="Currency 5 3 2 3" xfId="213" xr:uid="{00000000-0005-0000-0000-0000B30C0000}"/>
    <cellStyle name="Currency 5 3 2 3 10" xfId="8880" xr:uid="{CBB158CF-4308-431F-A20D-739D23A60E3D}"/>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A55A3AB8-3342-470D-9486-02A67CEBCCEC}"/>
    <cellStyle name="Currency 5 3 2 3 2 2 3" xfId="11439" xr:uid="{9693CFB8-3052-4419-A249-88CED44978AC}"/>
    <cellStyle name="Currency 5 3 2 3 2 3" xfId="5070" xr:uid="{00000000-0005-0000-0000-0000B70C0000}"/>
    <cellStyle name="Currency 5 3 2 3 2 3 2" xfId="13512" xr:uid="{CA5C348A-F5BB-4153-9326-8ADDAEF8C45D}"/>
    <cellStyle name="Currency 5 3 2 3 2 4" xfId="9294" xr:uid="{C6820CD5-52D7-41D6-B01B-562ECBC6CA2E}"/>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AE6EFBFA-B7D5-4389-9738-74C7E4AC6BB1}"/>
    <cellStyle name="Currency 5 3 2 3 3 2 3" xfId="11852" xr:uid="{39044F97-DEC3-4DBE-9676-FF6AC3F07FD1}"/>
    <cellStyle name="Currency 5 3 2 3 3 3" xfId="5483" xr:uid="{00000000-0005-0000-0000-0000BB0C0000}"/>
    <cellStyle name="Currency 5 3 2 3 3 3 2" xfId="13925" xr:uid="{05C221B9-AF66-4ACE-A796-8A8C51105B26}"/>
    <cellStyle name="Currency 5 3 2 3 3 4" xfId="9707" xr:uid="{AFF42C38-DED4-43A9-A10D-A0F900C2B7D4}"/>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6CF338C9-5345-4310-B920-8CD0CFA2B56D}"/>
    <cellStyle name="Currency 5 3 2 3 4 2 3" xfId="12265" xr:uid="{21E978ED-A2B8-4F15-9D87-C2995AB826EE}"/>
    <cellStyle name="Currency 5 3 2 3 4 3" xfId="5896" xr:uid="{00000000-0005-0000-0000-0000BF0C0000}"/>
    <cellStyle name="Currency 5 3 2 3 4 3 2" xfId="14338" xr:uid="{CE1699F4-DEDD-4F15-8EF5-F3D7A2C7B611}"/>
    <cellStyle name="Currency 5 3 2 3 4 4" xfId="10120" xr:uid="{8FE6CABA-9009-479F-935E-0F372D11040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3DEA9DA0-077B-45AC-B2CA-7CD2450064FD}"/>
    <cellStyle name="Currency 5 3 2 3 5 2 3" xfId="12678" xr:uid="{D52E085F-FB8E-47BB-AC5E-F43826755FE9}"/>
    <cellStyle name="Currency 5 3 2 3 5 3" xfId="6309" xr:uid="{00000000-0005-0000-0000-0000C30C0000}"/>
    <cellStyle name="Currency 5 3 2 3 5 3 2" xfId="14751" xr:uid="{13A8B128-8928-4A7D-BD72-9928F160580F}"/>
    <cellStyle name="Currency 5 3 2 3 5 4" xfId="10533" xr:uid="{C9454933-C03A-4FC0-AD99-5698C7716D49}"/>
    <cellStyle name="Currency 5 3 2 3 6" xfId="2437" xr:uid="{00000000-0005-0000-0000-0000C40C0000}"/>
    <cellStyle name="Currency 5 3 2 3 6 2" xfId="6722" xr:uid="{00000000-0005-0000-0000-0000C50C0000}"/>
    <cellStyle name="Currency 5 3 2 3 6 2 2" xfId="15164" xr:uid="{12F47CD5-9AE5-411F-93B6-5C80DC40C47B}"/>
    <cellStyle name="Currency 5 3 2 3 6 3" xfId="10946" xr:uid="{0B89A2DB-FB0B-418E-B0E5-29BA25A39369}"/>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A8E140CC-8821-4926-AEBF-2077CB0412BD}"/>
    <cellStyle name="Currency 5 3 2 3 8 3" xfId="11263" xr:uid="{409588E2-8574-4F6B-AC21-A3AFCDFAB27C}"/>
    <cellStyle name="Currency 5 3 2 3 9" xfId="4656" xr:uid="{00000000-0005-0000-0000-0000C90C0000}"/>
    <cellStyle name="Currency 5 3 2 3 9 2" xfId="13098" xr:uid="{9516F682-7F3B-48AA-9768-024FA93CC28B}"/>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1CD4EE6B-6EBF-4A99-9852-435A23612A5B}"/>
    <cellStyle name="Currency 5 3 2 4 2 3" xfId="11436" xr:uid="{5930B029-3781-4218-9F7D-FD6B14304952}"/>
    <cellStyle name="Currency 5 3 2 4 3" xfId="5067" xr:uid="{00000000-0005-0000-0000-0000CD0C0000}"/>
    <cellStyle name="Currency 5 3 2 4 3 2" xfId="13509" xr:uid="{261754F8-D583-48F9-88F7-517AFCC456C7}"/>
    <cellStyle name="Currency 5 3 2 4 4" xfId="9291" xr:uid="{00A4024A-9FA6-4051-AC91-8891FA947807}"/>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03686ED-8A9E-463E-A959-A3EB0470520C}"/>
    <cellStyle name="Currency 5 3 2 5 2 3" xfId="11849" xr:uid="{B25FFBAA-D4FF-41FC-AAA2-BF1B4A0D6E82}"/>
    <cellStyle name="Currency 5 3 2 5 3" xfId="5480" xr:uid="{00000000-0005-0000-0000-0000D10C0000}"/>
    <cellStyle name="Currency 5 3 2 5 3 2" xfId="13922" xr:uid="{8949F9C6-DB17-4E51-84C1-A18FC9BCE092}"/>
    <cellStyle name="Currency 5 3 2 5 4" xfId="9704" xr:uid="{00D82741-DCB7-4849-BEE8-345EF778BA83}"/>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2A13733F-EC92-40D9-ADB6-9E274F6AB67F}"/>
    <cellStyle name="Currency 5 3 2 6 2 3" xfId="12262" xr:uid="{0B320061-F332-4912-AD62-F0D2146CA214}"/>
    <cellStyle name="Currency 5 3 2 6 3" xfId="5893" xr:uid="{00000000-0005-0000-0000-0000D50C0000}"/>
    <cellStyle name="Currency 5 3 2 6 3 2" xfId="14335" xr:uid="{617BE448-5C16-42CA-9AAC-1F402637E55D}"/>
    <cellStyle name="Currency 5 3 2 6 4" xfId="10117" xr:uid="{5299A80F-B849-4927-9A77-DA8C7380F071}"/>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CEF9EDB7-278A-4940-8C1A-9A11EA0AA903}"/>
    <cellStyle name="Currency 5 3 2 7 2 3" xfId="12675" xr:uid="{5D84F3C7-C0FC-4974-892E-3DA3E8F90538}"/>
    <cellStyle name="Currency 5 3 2 7 3" xfId="6306" xr:uid="{00000000-0005-0000-0000-0000D90C0000}"/>
    <cellStyle name="Currency 5 3 2 7 3 2" xfId="14748" xr:uid="{E24786F8-0C23-458A-B6DF-30690DEECEBC}"/>
    <cellStyle name="Currency 5 3 2 7 4" xfId="10530" xr:uid="{2E6BE1AC-3059-41BB-ACC4-92FDC1716CEE}"/>
    <cellStyle name="Currency 5 3 2 8" xfId="2434" xr:uid="{00000000-0005-0000-0000-0000DA0C0000}"/>
    <cellStyle name="Currency 5 3 2 8 2" xfId="6719" xr:uid="{00000000-0005-0000-0000-0000DB0C0000}"/>
    <cellStyle name="Currency 5 3 2 8 2 2" xfId="15161" xr:uid="{B8D83E87-9B5E-4675-B81D-70AB4F8B5BEF}"/>
    <cellStyle name="Currency 5 3 2 8 3" xfId="10943" xr:uid="{240DD301-C02C-4ECD-A0EE-A9DE47D345E3}"/>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7DD6EB2D-08EE-4E3C-9A6C-CEF800E107AF}"/>
    <cellStyle name="Currency 5 3 3 11" xfId="8881" xr:uid="{56BB897D-783C-4182-B91A-CEAA01958365}"/>
    <cellStyle name="Currency 5 3 3 2" xfId="215" xr:uid="{00000000-0005-0000-0000-0000DF0C0000}"/>
    <cellStyle name="Currency 5 3 3 2 10" xfId="8882" xr:uid="{3FC25F3B-CE52-412B-9AA5-3710AAA1CB6A}"/>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B7ABC477-3A66-403A-9D08-591998EE9C37}"/>
    <cellStyle name="Currency 5 3 3 2 2 2 3" xfId="11441" xr:uid="{C8EA3DBF-2873-4A2F-8604-FAA435A5F378}"/>
    <cellStyle name="Currency 5 3 3 2 2 3" xfId="5072" xr:uid="{00000000-0005-0000-0000-0000E30C0000}"/>
    <cellStyle name="Currency 5 3 3 2 2 3 2" xfId="13514" xr:uid="{773F46EA-A598-438E-818A-47EFDC786301}"/>
    <cellStyle name="Currency 5 3 3 2 2 4" xfId="9296" xr:uid="{FD51C61F-B678-4F61-BD5E-938DD778D914}"/>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301ECA00-B7BB-4C59-8C4E-1151E55E41A4}"/>
    <cellStyle name="Currency 5 3 3 2 3 2 3" xfId="11854" xr:uid="{7DA7A4CF-F699-46D0-88C7-79B54D4FB3C8}"/>
    <cellStyle name="Currency 5 3 3 2 3 3" xfId="5485" xr:uid="{00000000-0005-0000-0000-0000E70C0000}"/>
    <cellStyle name="Currency 5 3 3 2 3 3 2" xfId="13927" xr:uid="{D6CC5D0B-C6D6-4A48-9451-50DD67255361}"/>
    <cellStyle name="Currency 5 3 3 2 3 4" xfId="9709" xr:uid="{9D71A4E3-3295-4AA5-B852-CD10A9AE64F6}"/>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FBA0C33E-ED68-45FB-8667-8EC3F6D1E0BA}"/>
    <cellStyle name="Currency 5 3 3 2 4 2 3" xfId="12267" xr:uid="{0BFE7C1B-A4F2-4C40-8937-4F45A06CC49C}"/>
    <cellStyle name="Currency 5 3 3 2 4 3" xfId="5898" xr:uid="{00000000-0005-0000-0000-0000EB0C0000}"/>
    <cellStyle name="Currency 5 3 3 2 4 3 2" xfId="14340" xr:uid="{6863FC85-71B0-4FB1-A814-82A6C314C948}"/>
    <cellStyle name="Currency 5 3 3 2 4 4" xfId="10122" xr:uid="{618C1B12-4823-4037-8C8E-BE72D27C8F01}"/>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5F0AA63A-56E0-4D74-BFCF-9B6DCE9CC61E}"/>
    <cellStyle name="Currency 5 3 3 2 5 2 3" xfId="12680" xr:uid="{09503129-651A-48E9-A874-A10E4B23A85F}"/>
    <cellStyle name="Currency 5 3 3 2 5 3" xfId="6311" xr:uid="{00000000-0005-0000-0000-0000EF0C0000}"/>
    <cellStyle name="Currency 5 3 3 2 5 3 2" xfId="14753" xr:uid="{DC642BD3-06F3-4BC6-9D92-059FC1BF71B3}"/>
    <cellStyle name="Currency 5 3 3 2 5 4" xfId="10535" xr:uid="{C668C02D-236A-45FF-99DC-738ABD4C1750}"/>
    <cellStyle name="Currency 5 3 3 2 6" xfId="2439" xr:uid="{00000000-0005-0000-0000-0000F00C0000}"/>
    <cellStyle name="Currency 5 3 3 2 6 2" xfId="6724" xr:uid="{00000000-0005-0000-0000-0000F10C0000}"/>
    <cellStyle name="Currency 5 3 3 2 6 2 2" xfId="15166" xr:uid="{47A5469D-B31A-4C45-9167-815A6AE125CF}"/>
    <cellStyle name="Currency 5 3 3 2 6 3" xfId="10948" xr:uid="{E5D1E80D-D33E-4A2C-870E-4C652A559305}"/>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DEB0460C-E77A-4D8F-A090-022749230FD0}"/>
    <cellStyle name="Currency 5 3 3 2 8 3" xfId="11265" xr:uid="{AF83735F-DB6D-4D5B-905B-AA4265A00852}"/>
    <cellStyle name="Currency 5 3 3 2 9" xfId="4658" xr:uid="{00000000-0005-0000-0000-0000F50C0000}"/>
    <cellStyle name="Currency 5 3 3 2 9 2" xfId="13100" xr:uid="{C9232209-3759-432A-95A1-BF7DC10A5E89}"/>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E0A3041C-A08E-4020-9E8B-E86E6E121AD0}"/>
    <cellStyle name="Currency 5 3 3 3 2 3" xfId="11440" xr:uid="{5A6370C0-C0E1-450B-BC11-9515F71931B5}"/>
    <cellStyle name="Currency 5 3 3 3 3" xfId="5071" xr:uid="{00000000-0005-0000-0000-0000F90C0000}"/>
    <cellStyle name="Currency 5 3 3 3 3 2" xfId="13513" xr:uid="{8C98AFDE-36FE-498A-A2B3-ED1530665506}"/>
    <cellStyle name="Currency 5 3 3 3 4" xfId="9295" xr:uid="{08D02017-1156-4936-81F6-0D98893499C5}"/>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4E12E23E-FED5-4208-B6DE-BB1E0B99A36E}"/>
    <cellStyle name="Currency 5 3 3 4 2 3" xfId="11853" xr:uid="{B60B9196-4F52-4DE9-9F69-724CD2A602D5}"/>
    <cellStyle name="Currency 5 3 3 4 3" xfId="5484" xr:uid="{00000000-0005-0000-0000-0000FD0C0000}"/>
    <cellStyle name="Currency 5 3 3 4 3 2" xfId="13926" xr:uid="{99E2A668-620A-4E2A-B32A-F90D37919D9B}"/>
    <cellStyle name="Currency 5 3 3 4 4" xfId="9708" xr:uid="{082CAA8C-8133-4FD5-B151-C3297038503F}"/>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65EAC108-DB7F-4926-B480-720E30440CD8}"/>
    <cellStyle name="Currency 5 3 3 5 2 3" xfId="12266" xr:uid="{F148AEA7-B802-4E27-BF18-EF2E7CEB0383}"/>
    <cellStyle name="Currency 5 3 3 5 3" xfId="5897" xr:uid="{00000000-0005-0000-0000-0000010D0000}"/>
    <cellStyle name="Currency 5 3 3 5 3 2" xfId="14339" xr:uid="{CF50F4C5-302D-41AB-8AA9-8111C413E29A}"/>
    <cellStyle name="Currency 5 3 3 5 4" xfId="10121" xr:uid="{25D80E30-AD5C-4BA3-A0C3-D9B7AAAE026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28EE6828-5B52-4264-A30C-740EAE05A103}"/>
    <cellStyle name="Currency 5 3 3 6 2 3" xfId="12679" xr:uid="{FA830393-DCA7-4282-A96C-2EF420B66DE0}"/>
    <cellStyle name="Currency 5 3 3 6 3" xfId="6310" xr:uid="{00000000-0005-0000-0000-0000050D0000}"/>
    <cellStyle name="Currency 5 3 3 6 3 2" xfId="14752" xr:uid="{EC29528C-4604-46BA-BF4D-3BD2854C371F}"/>
    <cellStyle name="Currency 5 3 3 6 4" xfId="10534" xr:uid="{5469BA0C-C826-4BED-B2F2-AD46775B2CC6}"/>
    <cellStyle name="Currency 5 3 3 7" xfId="2438" xr:uid="{00000000-0005-0000-0000-0000060D0000}"/>
    <cellStyle name="Currency 5 3 3 7 2" xfId="6723" xr:uid="{00000000-0005-0000-0000-0000070D0000}"/>
    <cellStyle name="Currency 5 3 3 7 2 2" xfId="15165" xr:uid="{5C4C4FF5-FDB2-489A-928F-C6D700E81D52}"/>
    <cellStyle name="Currency 5 3 3 7 3" xfId="10947" xr:uid="{54ECC3F3-9FD0-4D3D-BAC8-9AE3B3328936}"/>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CEF5DBE7-E5CD-4DA7-B6B0-FDD926567EB0}"/>
    <cellStyle name="Currency 5 3 3 9 3" xfId="11264" xr:uid="{BEC5AC26-EB9B-4A46-8B5D-0EC91DB8A08F}"/>
    <cellStyle name="Currency 5 3 4" xfId="216" xr:uid="{00000000-0005-0000-0000-00000B0D0000}"/>
    <cellStyle name="Currency 5 3 4 10" xfId="8883" xr:uid="{B1DAF0A4-20F9-4D58-ABA4-E36834E474DB}"/>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B516C38A-09EA-4CD4-ADDC-B070212958A1}"/>
    <cellStyle name="Currency 5 3 4 2 2 3" xfId="11442" xr:uid="{DD323379-8A3D-48E6-A7D5-BC18641B090E}"/>
    <cellStyle name="Currency 5 3 4 2 3" xfId="5073" xr:uid="{00000000-0005-0000-0000-00000F0D0000}"/>
    <cellStyle name="Currency 5 3 4 2 3 2" xfId="13515" xr:uid="{7EF59461-240E-49B6-B921-2ECC3FB6A787}"/>
    <cellStyle name="Currency 5 3 4 2 4" xfId="9297" xr:uid="{327FC418-2EBF-43D1-A6C1-84093729B904}"/>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C4679B65-C429-4490-A231-A38A55B9370A}"/>
    <cellStyle name="Currency 5 3 4 3 2 3" xfId="11855" xr:uid="{7CD22085-C82B-4769-9649-28D8E72DECB4}"/>
    <cellStyle name="Currency 5 3 4 3 3" xfId="5486" xr:uid="{00000000-0005-0000-0000-0000130D0000}"/>
    <cellStyle name="Currency 5 3 4 3 3 2" xfId="13928" xr:uid="{1EE50277-BCC1-4DF7-A04B-12DE865D1B64}"/>
    <cellStyle name="Currency 5 3 4 3 4" xfId="9710" xr:uid="{ED01EC20-BA59-4123-AB82-BBA065D36CF2}"/>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6FFB9EE3-DF3F-4D61-96D5-0487B3A21279}"/>
    <cellStyle name="Currency 5 3 4 4 2 3" xfId="12268" xr:uid="{32EE67E1-00BD-4A43-9F71-FAD79D04E692}"/>
    <cellStyle name="Currency 5 3 4 4 3" xfId="5899" xr:uid="{00000000-0005-0000-0000-0000170D0000}"/>
    <cellStyle name="Currency 5 3 4 4 3 2" xfId="14341" xr:uid="{4D395C77-C56C-485F-90A1-F0F5045F6E94}"/>
    <cellStyle name="Currency 5 3 4 4 4" xfId="10123" xr:uid="{E456C771-3646-4D87-8510-DBB622A90494}"/>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E793D6D1-ADDC-452C-B92D-55671B08A90C}"/>
    <cellStyle name="Currency 5 3 4 5 2 3" xfId="12681" xr:uid="{4BE4D54A-AFCF-4231-8EE9-14B8A29B3BB8}"/>
    <cellStyle name="Currency 5 3 4 5 3" xfId="6312" xr:uid="{00000000-0005-0000-0000-00001B0D0000}"/>
    <cellStyle name="Currency 5 3 4 5 3 2" xfId="14754" xr:uid="{2CF9EFE3-EBEA-45E0-9CFD-2676478FB8A6}"/>
    <cellStyle name="Currency 5 3 4 5 4" xfId="10536" xr:uid="{5F877A68-CD07-432A-A44C-ECAE4FDA5168}"/>
    <cellStyle name="Currency 5 3 4 6" xfId="2440" xr:uid="{00000000-0005-0000-0000-00001C0D0000}"/>
    <cellStyle name="Currency 5 3 4 6 2" xfId="6725" xr:uid="{00000000-0005-0000-0000-00001D0D0000}"/>
    <cellStyle name="Currency 5 3 4 6 2 2" xfId="15167" xr:uid="{6038E697-2BAD-4671-8626-DD1B07814E14}"/>
    <cellStyle name="Currency 5 3 4 6 3" xfId="10949" xr:uid="{219AE6D1-22B4-4E40-8680-67554B8486E7}"/>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F00D069C-251E-4659-B876-5F44AB3BC700}"/>
    <cellStyle name="Currency 5 3 4 8 3" xfId="11266" xr:uid="{AF6CCFCE-27FF-4E81-9341-42587FECB108}"/>
    <cellStyle name="Currency 5 3 4 9" xfId="4659" xr:uid="{00000000-0005-0000-0000-0000210D0000}"/>
    <cellStyle name="Currency 5 3 4 9 2" xfId="13101" xr:uid="{C1B3410D-D9E4-4415-BF3A-FE6C83B212FE}"/>
    <cellStyle name="Currency 5 3 5" xfId="217" xr:uid="{00000000-0005-0000-0000-0000220D0000}"/>
    <cellStyle name="Currency 5 3 5 10" xfId="8884" xr:uid="{16DEFEEC-2A2C-45D0-B932-13656B042852}"/>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3A14A709-8FED-45D8-B51D-77603E4C46E4}"/>
    <cellStyle name="Currency 5 3 5 2 2 3" xfId="11443" xr:uid="{E3D535FA-0535-4B9B-B275-ABBD03B0EAC1}"/>
    <cellStyle name="Currency 5 3 5 2 3" xfId="5074" xr:uid="{00000000-0005-0000-0000-0000260D0000}"/>
    <cellStyle name="Currency 5 3 5 2 3 2" xfId="13516" xr:uid="{419B210C-33A0-4D42-9DC7-1BFD68AF7F81}"/>
    <cellStyle name="Currency 5 3 5 2 4" xfId="9298" xr:uid="{EAA8CD0E-B618-43EE-865C-BB96ED22C0B5}"/>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CBF970A-130F-4378-8CC1-A8C98412D438}"/>
    <cellStyle name="Currency 5 3 5 3 2 3" xfId="11856" xr:uid="{0E142FC4-4FE2-4AC2-81D4-E79C855BF1AC}"/>
    <cellStyle name="Currency 5 3 5 3 3" xfId="5487" xr:uid="{00000000-0005-0000-0000-00002A0D0000}"/>
    <cellStyle name="Currency 5 3 5 3 3 2" xfId="13929" xr:uid="{82FB2363-06CE-4E69-9660-E49717767114}"/>
    <cellStyle name="Currency 5 3 5 3 4" xfId="9711" xr:uid="{FA90793F-0C24-4E9E-87C6-50F7C3198132}"/>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22051E9D-D830-4212-93B4-1B829B6FB002}"/>
    <cellStyle name="Currency 5 3 5 4 2 3" xfId="12269" xr:uid="{235CBC4B-3DFB-492C-90D5-ED1208C392F4}"/>
    <cellStyle name="Currency 5 3 5 4 3" xfId="5900" xr:uid="{00000000-0005-0000-0000-00002E0D0000}"/>
    <cellStyle name="Currency 5 3 5 4 3 2" xfId="14342" xr:uid="{DC77C7D7-B3C1-4629-8306-1A459F055545}"/>
    <cellStyle name="Currency 5 3 5 4 4" xfId="10124" xr:uid="{8AFCD0C1-8194-460E-AC36-068F05AC2A1D}"/>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F24F9C5A-F012-4A54-BEA8-AB88D4A2DE6B}"/>
    <cellStyle name="Currency 5 3 5 5 2 3" xfId="12682" xr:uid="{1EF45BB9-6332-4D37-B33C-E3232FEF03D0}"/>
    <cellStyle name="Currency 5 3 5 5 3" xfId="6313" xr:uid="{00000000-0005-0000-0000-0000320D0000}"/>
    <cellStyle name="Currency 5 3 5 5 3 2" xfId="14755" xr:uid="{456B52C0-E428-4582-997A-B1A2BD8BF285}"/>
    <cellStyle name="Currency 5 3 5 5 4" xfId="10537" xr:uid="{C5D8AF7D-3396-4BB2-9E21-E7797CA59216}"/>
    <cellStyle name="Currency 5 3 5 6" xfId="2441" xr:uid="{00000000-0005-0000-0000-0000330D0000}"/>
    <cellStyle name="Currency 5 3 5 6 2" xfId="6726" xr:uid="{00000000-0005-0000-0000-0000340D0000}"/>
    <cellStyle name="Currency 5 3 5 6 2 2" xfId="15168" xr:uid="{C953E08E-FAE1-4E3B-950C-D688C7EADD50}"/>
    <cellStyle name="Currency 5 3 5 6 3" xfId="10950" xr:uid="{15466A74-53A2-469D-B948-A00DCE9BCBC3}"/>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86D044E7-6235-45D7-8403-0F4651FF7BC5}"/>
    <cellStyle name="Currency 5 3 5 8 3" xfId="11267" xr:uid="{87317770-661C-4AF7-8280-B27AD6595A56}"/>
    <cellStyle name="Currency 5 3 5 9" xfId="4660" xr:uid="{00000000-0005-0000-0000-0000380D0000}"/>
    <cellStyle name="Currency 5 3 5 9 2" xfId="13102" xr:uid="{BF1EA605-622B-4728-AA77-5A01C3F30576}"/>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54BE730D-6923-4905-AA00-C7C6F7065A80}"/>
    <cellStyle name="Currency 5 5 11" xfId="8885" xr:uid="{50241820-FA54-4693-936E-08F7739E07D2}"/>
    <cellStyle name="Currency 5 5 2" xfId="220" xr:uid="{00000000-0005-0000-0000-00003D0D0000}"/>
    <cellStyle name="Currency 5 5 2 10" xfId="8886" xr:uid="{79934AF3-2EA9-4A3E-B6B9-752649D8FBA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C5608791-ACEF-48B8-B4F8-7E3BFD45612D}"/>
    <cellStyle name="Currency 5 5 2 2 2 3" xfId="11445" xr:uid="{A2B176F4-6A78-4990-9018-E73544762FC8}"/>
    <cellStyle name="Currency 5 5 2 2 3" xfId="5076" xr:uid="{00000000-0005-0000-0000-0000410D0000}"/>
    <cellStyle name="Currency 5 5 2 2 3 2" xfId="13518" xr:uid="{7FD0AFB5-92B2-44F2-AE3E-C4877C125C81}"/>
    <cellStyle name="Currency 5 5 2 2 4" xfId="9300" xr:uid="{7F344570-C147-418F-9394-EAF6290D3565}"/>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8469DED5-4AA0-49E2-AAEC-51A37AB81235}"/>
    <cellStyle name="Currency 5 5 2 3 2 3" xfId="11858" xr:uid="{7BD5E1AF-7B1E-47B2-A9EA-CC3B56EF5DE3}"/>
    <cellStyle name="Currency 5 5 2 3 3" xfId="5489" xr:uid="{00000000-0005-0000-0000-0000450D0000}"/>
    <cellStyle name="Currency 5 5 2 3 3 2" xfId="13931" xr:uid="{6D1BAE28-BBD2-4EB4-9813-50BE95F6F62A}"/>
    <cellStyle name="Currency 5 5 2 3 4" xfId="9713" xr:uid="{E8A36889-B868-4A53-838E-111B67BFDD7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27B9B674-47EC-476A-A965-FFCF2938F5B2}"/>
    <cellStyle name="Currency 5 5 2 4 2 3" xfId="12271" xr:uid="{C5FF0DA8-4A34-4A0F-AE3F-8AD5D6C63894}"/>
    <cellStyle name="Currency 5 5 2 4 3" xfId="5902" xr:uid="{00000000-0005-0000-0000-0000490D0000}"/>
    <cellStyle name="Currency 5 5 2 4 3 2" xfId="14344" xr:uid="{CA7F4EA6-E9E8-4F52-A48D-3314319D7A39}"/>
    <cellStyle name="Currency 5 5 2 4 4" xfId="10126" xr:uid="{59B7044C-5844-4C8F-88C2-C43E142A9DF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0D327F1E-7B20-4AF2-91EE-838AB10BE467}"/>
    <cellStyle name="Currency 5 5 2 5 2 3" xfId="12684" xr:uid="{4472E2A9-532D-4288-9B27-5F45961AD806}"/>
    <cellStyle name="Currency 5 5 2 5 3" xfId="6315" xr:uid="{00000000-0005-0000-0000-00004D0D0000}"/>
    <cellStyle name="Currency 5 5 2 5 3 2" xfId="14757" xr:uid="{541BF05C-AD19-41ED-B544-1546A72215C1}"/>
    <cellStyle name="Currency 5 5 2 5 4" xfId="10539" xr:uid="{BEB5EE23-6282-4226-BB0A-0EE95E509E5F}"/>
    <cellStyle name="Currency 5 5 2 6" xfId="2443" xr:uid="{00000000-0005-0000-0000-00004E0D0000}"/>
    <cellStyle name="Currency 5 5 2 6 2" xfId="6728" xr:uid="{00000000-0005-0000-0000-00004F0D0000}"/>
    <cellStyle name="Currency 5 5 2 6 2 2" xfId="15170" xr:uid="{CA2752A9-B271-44EA-A078-411C6C2540D3}"/>
    <cellStyle name="Currency 5 5 2 6 3" xfId="10952" xr:uid="{3FD7A023-A1E5-43B3-91A6-12034DD61BE9}"/>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937D3800-0DF1-4FB4-9363-B70E62348C5C}"/>
    <cellStyle name="Currency 5 5 2 8 3" xfId="11269" xr:uid="{73A68959-8C34-4957-B7B6-F240DB35ADF7}"/>
    <cellStyle name="Currency 5 5 2 9" xfId="4662" xr:uid="{00000000-0005-0000-0000-0000530D0000}"/>
    <cellStyle name="Currency 5 5 2 9 2" xfId="13104" xr:uid="{D0250452-DF99-4E52-B191-246BE12E1424}"/>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C43386F2-6CB2-4AD0-97B1-1A052899E99A}"/>
    <cellStyle name="Currency 5 5 3 2 3" xfId="11444" xr:uid="{CC4439F1-6BD3-47A2-A1AB-803833590AC3}"/>
    <cellStyle name="Currency 5 5 3 3" xfId="5075" xr:uid="{00000000-0005-0000-0000-0000570D0000}"/>
    <cellStyle name="Currency 5 5 3 3 2" xfId="13517" xr:uid="{A6E746FF-AD93-4B8A-9078-0E9DF03F93B7}"/>
    <cellStyle name="Currency 5 5 3 4" xfId="9299" xr:uid="{F068EFD2-BDD3-4B38-9170-45637058080D}"/>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DC9B78C7-8F29-4D9D-B7AE-6B24571322F8}"/>
    <cellStyle name="Currency 5 5 4 2 3" xfId="11857" xr:uid="{EE3A2293-FB06-48F9-82CE-C96C61017645}"/>
    <cellStyle name="Currency 5 5 4 3" xfId="5488" xr:uid="{00000000-0005-0000-0000-00005B0D0000}"/>
    <cellStyle name="Currency 5 5 4 3 2" xfId="13930" xr:uid="{D7D25446-0943-45C1-97CD-93DA4FE15821}"/>
    <cellStyle name="Currency 5 5 4 4" xfId="9712" xr:uid="{F430DA4D-3C9F-400F-8209-8F00FDB7624B}"/>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604FC701-4D3E-4E8A-88CD-12E52BBF009D}"/>
    <cellStyle name="Currency 5 5 5 2 3" xfId="12270" xr:uid="{75B8064B-83FE-4296-BAA2-C2DDA667C49D}"/>
    <cellStyle name="Currency 5 5 5 3" xfId="5901" xr:uid="{00000000-0005-0000-0000-00005F0D0000}"/>
    <cellStyle name="Currency 5 5 5 3 2" xfId="14343" xr:uid="{C853FD68-B291-4ECA-AAA3-7533FC652152}"/>
    <cellStyle name="Currency 5 5 5 4" xfId="10125" xr:uid="{942A0599-6A51-4330-BB69-B42F4E86D98D}"/>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24836C75-994A-486D-8FBE-5C8073BF957F}"/>
    <cellStyle name="Currency 5 5 6 2 3" xfId="12683" xr:uid="{A8B1BDCB-EDE0-49F8-B2F9-4912EFA9BEE0}"/>
    <cellStyle name="Currency 5 5 6 3" xfId="6314" xr:uid="{00000000-0005-0000-0000-0000630D0000}"/>
    <cellStyle name="Currency 5 5 6 3 2" xfId="14756" xr:uid="{B9A6C342-339E-410B-9E6C-47553B27520B}"/>
    <cellStyle name="Currency 5 5 6 4" xfId="10538" xr:uid="{987F897A-718F-4FA2-9C05-02162D04F78F}"/>
    <cellStyle name="Currency 5 5 7" xfId="2442" xr:uid="{00000000-0005-0000-0000-0000640D0000}"/>
    <cellStyle name="Currency 5 5 7 2" xfId="6727" xr:uid="{00000000-0005-0000-0000-0000650D0000}"/>
    <cellStyle name="Currency 5 5 7 2 2" xfId="15169" xr:uid="{4EEA8280-5E5E-4BA0-8D1B-BEF50D58FCD3}"/>
    <cellStyle name="Currency 5 5 7 3" xfId="10951" xr:uid="{D739629C-A39C-459F-9CEA-4986EA5CA7FC}"/>
    <cellStyle name="Currency 5 5 8" xfId="2739" xr:uid="{00000000-0005-0000-0000-0000660D0000}"/>
    <cellStyle name="Currency 5 5 9" xfId="2820" xr:uid="{00000000-0005-0000-0000-0000670D0000}"/>
    <cellStyle name="Currency 5 5 9 2" xfId="7044" xr:uid="{00000000-0005-0000-0000-0000680D0000}"/>
    <cellStyle name="Currency 5 5 9 2 2" xfId="15486" xr:uid="{69B77E42-C20F-4756-AF8F-0B70DB65F53A}"/>
    <cellStyle name="Currency 5 5 9 3" xfId="11268" xr:uid="{79FDA806-EE2E-4A86-A7B1-9B9658573557}"/>
    <cellStyle name="Currency 5 6" xfId="221" xr:uid="{00000000-0005-0000-0000-0000690D0000}"/>
    <cellStyle name="Currency 5 6 10" xfId="8887" xr:uid="{C906FCEB-C723-458E-80F0-CAD04645E2D8}"/>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9E51EA8C-595C-4F73-B08B-D87049F90276}"/>
    <cellStyle name="Currency 5 6 2 2 3" xfId="11446" xr:uid="{53618C80-C8A6-4B9A-9792-7BFCA93F143D}"/>
    <cellStyle name="Currency 5 6 2 3" xfId="5077" xr:uid="{00000000-0005-0000-0000-00006D0D0000}"/>
    <cellStyle name="Currency 5 6 2 3 2" xfId="13519" xr:uid="{446BE7AB-E313-4B0E-B6A4-518F3405D519}"/>
    <cellStyle name="Currency 5 6 2 4" xfId="9301" xr:uid="{195466B0-CE99-489F-8780-8C04E1411363}"/>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33C3F8A0-826D-4E65-AB29-B7F7F82B8839}"/>
    <cellStyle name="Currency 5 6 3 2 3" xfId="11859" xr:uid="{384E4531-B9A4-4C31-AA43-508F0717EA72}"/>
    <cellStyle name="Currency 5 6 3 3" xfId="5490" xr:uid="{00000000-0005-0000-0000-0000710D0000}"/>
    <cellStyle name="Currency 5 6 3 3 2" xfId="13932" xr:uid="{67CA1F06-AD41-4DFD-B4EC-C414FC912581}"/>
    <cellStyle name="Currency 5 6 3 4" xfId="9714" xr:uid="{C88A13C3-801F-4D12-95D6-A9BD1C3CDADE}"/>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AF003322-2348-4A59-A2ED-5F2A3C3CF532}"/>
    <cellStyle name="Currency 5 6 4 2 3" xfId="12272" xr:uid="{D5B156EC-7373-4A57-BBB4-2C3A42A7F15E}"/>
    <cellStyle name="Currency 5 6 4 3" xfId="5903" xr:uid="{00000000-0005-0000-0000-0000750D0000}"/>
    <cellStyle name="Currency 5 6 4 3 2" xfId="14345" xr:uid="{6093F8CE-2B8F-491B-AC8B-85AE4BEC00C6}"/>
    <cellStyle name="Currency 5 6 4 4" xfId="10127" xr:uid="{7A56265B-39BF-4D1F-B32A-A853CBEBA4AC}"/>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4ECF19BB-3E25-4C52-A62B-4EB7F12AB3F8}"/>
    <cellStyle name="Currency 5 6 5 2 3" xfId="12685" xr:uid="{2B93E281-8D2E-4B62-BBAC-377D05D36E8F}"/>
    <cellStyle name="Currency 5 6 5 3" xfId="6316" xr:uid="{00000000-0005-0000-0000-0000790D0000}"/>
    <cellStyle name="Currency 5 6 5 3 2" xfId="14758" xr:uid="{09DA8C39-F725-4938-810D-02DDE4A6C0D6}"/>
    <cellStyle name="Currency 5 6 5 4" xfId="10540" xr:uid="{00075355-F37C-4C73-A189-C9046737F856}"/>
    <cellStyle name="Currency 5 6 6" xfId="2444" xr:uid="{00000000-0005-0000-0000-00007A0D0000}"/>
    <cellStyle name="Currency 5 6 6 2" xfId="6729" xr:uid="{00000000-0005-0000-0000-00007B0D0000}"/>
    <cellStyle name="Currency 5 6 6 2 2" xfId="15171" xr:uid="{5E4E654C-BBE2-4800-A685-F8876472E92D}"/>
    <cellStyle name="Currency 5 6 6 3" xfId="10953" xr:uid="{ED498F4C-DCD6-49BA-AC7F-CB36C393F317}"/>
    <cellStyle name="Currency 5 6 7" xfId="2741" xr:uid="{00000000-0005-0000-0000-00007C0D0000}"/>
    <cellStyle name="Currency 5 6 8" xfId="2822" xr:uid="{00000000-0005-0000-0000-00007D0D0000}"/>
    <cellStyle name="Currency 5 6 8 2" xfId="7046" xr:uid="{00000000-0005-0000-0000-00007E0D0000}"/>
    <cellStyle name="Currency 5 6 8 2 2" xfId="15488" xr:uid="{0079647D-8E8A-449E-ABB9-2058E2DA6219}"/>
    <cellStyle name="Currency 5 6 8 3" xfId="11270" xr:uid="{DAF7B4A2-BD48-4407-935A-766488B42027}"/>
    <cellStyle name="Currency 5 6 9" xfId="4663" xr:uid="{00000000-0005-0000-0000-00007F0D0000}"/>
    <cellStyle name="Currency 5 6 9 2" xfId="13105" xr:uid="{009A35B3-4BEB-4892-9821-2C4118021F55}"/>
    <cellStyle name="Currency 5 7" xfId="222" xr:uid="{00000000-0005-0000-0000-0000800D0000}"/>
    <cellStyle name="Currency 5 7 10" xfId="8888" xr:uid="{8566878D-7A42-45C0-B5C7-C9763CBE94F7}"/>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5F5326B9-DA05-4EA7-842C-11046BEC57B8}"/>
    <cellStyle name="Currency 5 7 2 2 3" xfId="11447" xr:uid="{2B234F77-DCEB-4305-9CA3-A7CB72C2752D}"/>
    <cellStyle name="Currency 5 7 2 3" xfId="5078" xr:uid="{00000000-0005-0000-0000-0000840D0000}"/>
    <cellStyle name="Currency 5 7 2 3 2" xfId="13520" xr:uid="{B01B651D-8407-4D16-90A9-3D204D1EF358}"/>
    <cellStyle name="Currency 5 7 2 4" xfId="9302" xr:uid="{39638141-F643-4D97-AD38-D922C42435B1}"/>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0549A6F8-C97A-45D6-9E55-9C1EBB209BA5}"/>
    <cellStyle name="Currency 5 7 3 2 3" xfId="11860" xr:uid="{C0E23662-1D34-4D60-BFA2-030393757128}"/>
    <cellStyle name="Currency 5 7 3 3" xfId="5491" xr:uid="{00000000-0005-0000-0000-0000880D0000}"/>
    <cellStyle name="Currency 5 7 3 3 2" xfId="13933" xr:uid="{FAD08FE3-5F0E-4447-9DDC-35754FEB8CCA}"/>
    <cellStyle name="Currency 5 7 3 4" xfId="9715" xr:uid="{EA4A45B7-3F7F-4F0B-9E80-42DF0E057264}"/>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4FB4B108-FF94-4B95-9D02-3FB2F3DB4EEE}"/>
    <cellStyle name="Currency 5 7 4 2 3" xfId="12273" xr:uid="{9B4235AA-7354-4AC5-9C79-BC5F02A0603B}"/>
    <cellStyle name="Currency 5 7 4 3" xfId="5904" xr:uid="{00000000-0005-0000-0000-00008C0D0000}"/>
    <cellStyle name="Currency 5 7 4 3 2" xfId="14346" xr:uid="{ABED8742-D4B1-4A52-A8F2-D84261ACB662}"/>
    <cellStyle name="Currency 5 7 4 4" xfId="10128" xr:uid="{F098C8FD-163E-4796-B2D6-629B7D2DA739}"/>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129DA7F7-FE29-4C42-9195-8F6A3E4AAD4B}"/>
    <cellStyle name="Currency 5 7 5 2 3" xfId="12686" xr:uid="{42315619-22DF-40BA-A820-2D7AC92F0CF3}"/>
    <cellStyle name="Currency 5 7 5 3" xfId="6317" xr:uid="{00000000-0005-0000-0000-0000900D0000}"/>
    <cellStyle name="Currency 5 7 5 3 2" xfId="14759" xr:uid="{7033E4EA-2F2D-43FB-AEDD-8079B905ED68}"/>
    <cellStyle name="Currency 5 7 5 4" xfId="10541" xr:uid="{91F591BF-437E-431D-A494-159CAC0D71D5}"/>
    <cellStyle name="Currency 5 7 6" xfId="2445" xr:uid="{00000000-0005-0000-0000-0000910D0000}"/>
    <cellStyle name="Currency 5 7 6 2" xfId="6730" xr:uid="{00000000-0005-0000-0000-0000920D0000}"/>
    <cellStyle name="Currency 5 7 6 2 2" xfId="15172" xr:uid="{7772DB8A-8445-4303-B854-B9D2062CF253}"/>
    <cellStyle name="Currency 5 7 6 3" xfId="10954" xr:uid="{6EBC2EF4-CD1B-48C6-B6CF-C376E6215DAA}"/>
    <cellStyle name="Currency 5 7 7" xfId="2742" xr:uid="{00000000-0005-0000-0000-0000930D0000}"/>
    <cellStyle name="Currency 5 7 8" xfId="2823" xr:uid="{00000000-0005-0000-0000-0000940D0000}"/>
    <cellStyle name="Currency 5 7 8 2" xfId="7047" xr:uid="{00000000-0005-0000-0000-0000950D0000}"/>
    <cellStyle name="Currency 5 7 8 2 2" xfId="15489" xr:uid="{AF98786E-8A5E-4215-9276-673346A9F865}"/>
    <cellStyle name="Currency 5 7 8 3" xfId="11271" xr:uid="{284F6ED9-5BD3-42A5-BF84-1921FCE1ACBD}"/>
    <cellStyle name="Currency 5 7 9" xfId="4664" xr:uid="{00000000-0005-0000-0000-0000960D0000}"/>
    <cellStyle name="Currency 5 7 9 2" xfId="13106" xr:uid="{588C5BFD-61A9-427E-B3B0-54FBC268809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87DFD5F6-DDC8-4BD4-82E4-E2F56DD27139}"/>
    <cellStyle name="Normal 12 10 3" xfId="10955" xr:uid="{CA34B0C1-6DA2-4BEC-9B14-B821CB9B5B05}"/>
    <cellStyle name="Normal 12 11" xfId="4665" xr:uid="{00000000-0005-0000-0000-0000CC0D0000}"/>
    <cellStyle name="Normal 12 11 2" xfId="13107" xr:uid="{B4E822AD-C0DE-4499-BF85-886C4EB431D1}"/>
    <cellStyle name="Normal 12 12" xfId="8889" xr:uid="{00EC5281-CBED-432E-AAC1-FB8E7975F0E7}"/>
    <cellStyle name="Normal 12 2" xfId="260" xr:uid="{00000000-0005-0000-0000-0000CD0D0000}"/>
    <cellStyle name="Normal 12 2 10" xfId="8890" xr:uid="{7A07DCCE-7D4E-4F22-A77A-D25D937628D7}"/>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1DF1EFCF-98C5-43BE-9F75-F7A7ED7543F5}"/>
    <cellStyle name="Normal 12 2 2 2 2 2 3" xfId="11451" xr:uid="{1E5BD296-F938-446C-B5C9-BCF601E1D83B}"/>
    <cellStyle name="Normal 12 2 2 2 2 3" xfId="5082" xr:uid="{00000000-0005-0000-0000-0000D30D0000}"/>
    <cellStyle name="Normal 12 2 2 2 2 3 2" xfId="13524" xr:uid="{0C6ABFBA-8768-4B5E-A8D7-E094A20E4B7B}"/>
    <cellStyle name="Normal 12 2 2 2 2 4" xfId="9306" xr:uid="{58B57F7D-00AC-4F0E-8CD2-BC38D1E82001}"/>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CD00A664-E976-4270-BF95-07F742D98B3D}"/>
    <cellStyle name="Normal 12 2 2 2 3 2 3" xfId="11864" xr:uid="{6355D901-8226-44E8-8C5C-87ABE9341E05}"/>
    <cellStyle name="Normal 12 2 2 2 3 3" xfId="5495" xr:uid="{00000000-0005-0000-0000-0000D70D0000}"/>
    <cellStyle name="Normal 12 2 2 2 3 3 2" xfId="13937" xr:uid="{3EDAB27A-EAEF-4BB9-AF1C-5ABD62B8A644}"/>
    <cellStyle name="Normal 12 2 2 2 3 4" xfId="9719" xr:uid="{39717521-90B9-4825-B93C-FF9D6D5A56B5}"/>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87E9B88-683B-4B8E-9B59-7D6C5B682F0B}"/>
    <cellStyle name="Normal 12 2 2 2 4 2 3" xfId="12277" xr:uid="{C02BCB03-4199-4701-AE02-B41FF036D7D6}"/>
    <cellStyle name="Normal 12 2 2 2 4 3" xfId="5908" xr:uid="{00000000-0005-0000-0000-0000DB0D0000}"/>
    <cellStyle name="Normal 12 2 2 2 4 3 2" xfId="14350" xr:uid="{441DBA9A-E238-428C-AA12-AC5A340C0968}"/>
    <cellStyle name="Normal 12 2 2 2 4 4" xfId="10132" xr:uid="{50643A6C-2FB1-4B3F-B3EB-F22A6900AC27}"/>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33B9327A-88B0-48CA-9105-44CBBD82B4B0}"/>
    <cellStyle name="Normal 12 2 2 2 5 2 3" xfId="12690" xr:uid="{80E8B2A6-D62F-47D7-92AA-1C26C29BB787}"/>
    <cellStyle name="Normal 12 2 2 2 5 3" xfId="6321" xr:uid="{00000000-0005-0000-0000-0000DF0D0000}"/>
    <cellStyle name="Normal 12 2 2 2 5 3 2" xfId="14763" xr:uid="{23195A9B-9C31-43AF-8A33-B8BB0C599BE6}"/>
    <cellStyle name="Normal 12 2 2 2 5 4" xfId="10545" xr:uid="{5CF2760E-3BE5-4049-BF72-896DAA973AD2}"/>
    <cellStyle name="Normal 12 2 2 2 6" xfId="2450" xr:uid="{00000000-0005-0000-0000-0000E00D0000}"/>
    <cellStyle name="Normal 12 2 2 2 6 2" xfId="6734" xr:uid="{00000000-0005-0000-0000-0000E10D0000}"/>
    <cellStyle name="Normal 12 2 2 2 6 2 2" xfId="15176" xr:uid="{E26F1D95-23F3-49E1-BEF8-89B5C469D187}"/>
    <cellStyle name="Normal 12 2 2 2 6 3" xfId="10958" xr:uid="{8CEFDC94-B728-4EA2-845D-A6BB42CEB942}"/>
    <cellStyle name="Normal 12 2 2 2 7" xfId="4668" xr:uid="{00000000-0005-0000-0000-0000E20D0000}"/>
    <cellStyle name="Normal 12 2 2 2 7 2" xfId="13110" xr:uid="{13A8D3C4-A63A-41E3-93D2-6709364AEC38}"/>
    <cellStyle name="Normal 12 2 2 2 8" xfId="8892" xr:uid="{51EC05B8-9509-442B-B00F-792AAFEA802F}"/>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B965FCD8-BDBE-4E27-A8BE-7F19456A7313}"/>
    <cellStyle name="Normal 12 2 2 3 2 3" xfId="11450" xr:uid="{0014DC79-97EA-4118-9A1F-BF0E52DDE45E}"/>
    <cellStyle name="Normal 12 2 2 3 3" xfId="5081" xr:uid="{00000000-0005-0000-0000-0000E60D0000}"/>
    <cellStyle name="Normal 12 2 2 3 3 2" xfId="13523" xr:uid="{B2EE9F50-5535-4CE2-BAB5-2EA5E631AC12}"/>
    <cellStyle name="Normal 12 2 2 3 4" xfId="9305" xr:uid="{89C72E29-D44A-4FBE-AA54-9C945E40EA15}"/>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C0B1A4BC-28CC-444C-BC69-9F4C3E38B9B0}"/>
    <cellStyle name="Normal 12 2 2 4 2 3" xfId="11863" xr:uid="{4A4C0D34-ACC7-4CCA-AEE6-E76A1F5BE44B}"/>
    <cellStyle name="Normal 12 2 2 4 3" xfId="5494" xr:uid="{00000000-0005-0000-0000-0000EA0D0000}"/>
    <cellStyle name="Normal 12 2 2 4 3 2" xfId="13936" xr:uid="{CF892FEB-7AD7-4703-9270-3DB1056F2AEC}"/>
    <cellStyle name="Normal 12 2 2 4 4" xfId="9718" xr:uid="{FBFEAB90-4BF9-48A1-A80C-069A1438C443}"/>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9127F371-3A05-4FDC-B253-3577B221269F}"/>
    <cellStyle name="Normal 12 2 2 5 2 3" xfId="12276" xr:uid="{4A0954C4-4E5A-4F4F-AA1C-391654626859}"/>
    <cellStyle name="Normal 12 2 2 5 3" xfId="5907" xr:uid="{00000000-0005-0000-0000-0000EE0D0000}"/>
    <cellStyle name="Normal 12 2 2 5 3 2" xfId="14349" xr:uid="{61674237-DAF1-4906-8BCD-8094CF7B07D2}"/>
    <cellStyle name="Normal 12 2 2 5 4" xfId="10131" xr:uid="{937E3698-A027-4B34-A9C2-72102A12E8BF}"/>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F5B01E83-AA9F-4229-92C1-CE2CDFFDF921}"/>
    <cellStyle name="Normal 12 2 2 6 2 3" xfId="12689" xr:uid="{5359AAF9-EBC2-473E-B8E9-350DF2873B4A}"/>
    <cellStyle name="Normal 12 2 2 6 3" xfId="6320" xr:uid="{00000000-0005-0000-0000-0000F20D0000}"/>
    <cellStyle name="Normal 12 2 2 6 3 2" xfId="14762" xr:uid="{A382C541-8767-44D7-80BB-B11249D9452C}"/>
    <cellStyle name="Normal 12 2 2 6 4" xfId="10544" xr:uid="{5467AB40-C651-4E2A-886E-E37B31F74EB5}"/>
    <cellStyle name="Normal 12 2 2 7" xfId="2449" xr:uid="{00000000-0005-0000-0000-0000F30D0000}"/>
    <cellStyle name="Normal 12 2 2 7 2" xfId="6733" xr:uid="{00000000-0005-0000-0000-0000F40D0000}"/>
    <cellStyle name="Normal 12 2 2 7 2 2" xfId="15175" xr:uid="{A2002A78-5DCB-4D54-9A76-1B2400C81F94}"/>
    <cellStyle name="Normal 12 2 2 7 3" xfId="10957" xr:uid="{D35DF0D9-B96F-4F3C-9A1E-3662B33267B2}"/>
    <cellStyle name="Normal 12 2 2 8" xfId="4667" xr:uid="{00000000-0005-0000-0000-0000F50D0000}"/>
    <cellStyle name="Normal 12 2 2 8 2" xfId="13109" xr:uid="{1D0BDA6B-9174-417F-9DF0-07FA3A4B6F62}"/>
    <cellStyle name="Normal 12 2 2 9" xfId="8891" xr:uid="{5050E255-1C6F-414C-B443-E1F994C3C17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E6EEBEC6-D4A2-46F4-A69B-5A337334E8E7}"/>
    <cellStyle name="Normal 12 2 3 2 2 3" xfId="11452" xr:uid="{5E272AD8-9F72-4087-9CFC-162A2307683C}"/>
    <cellStyle name="Normal 12 2 3 2 3" xfId="5083" xr:uid="{00000000-0005-0000-0000-0000FA0D0000}"/>
    <cellStyle name="Normal 12 2 3 2 3 2" xfId="13525" xr:uid="{44460446-7A2E-4101-A4EA-2F8BFFAAEBD5}"/>
    <cellStyle name="Normal 12 2 3 2 4" xfId="9307" xr:uid="{B8775162-6159-470C-82C5-082487FFFEC9}"/>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0C4C6304-0203-493C-BD3F-717246570799}"/>
    <cellStyle name="Normal 12 2 3 3 2 3" xfId="11865" xr:uid="{287FA8DF-DCA0-4DC8-BCE2-502CBD1816DE}"/>
    <cellStyle name="Normal 12 2 3 3 3" xfId="5496" xr:uid="{00000000-0005-0000-0000-0000FE0D0000}"/>
    <cellStyle name="Normal 12 2 3 3 3 2" xfId="13938" xr:uid="{97023E36-0DDB-4861-A7FF-0D4AE68C497D}"/>
    <cellStyle name="Normal 12 2 3 3 4" xfId="9720" xr:uid="{1BE7E7F3-5C42-4945-A0A8-5A0A362212BE}"/>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5EB0472F-7F58-4752-AAFB-B679C2BF82E6}"/>
    <cellStyle name="Normal 12 2 3 4 2 3" xfId="12278" xr:uid="{4DA221E4-2DB8-4B98-9B7D-B7BB6E1AB503}"/>
    <cellStyle name="Normal 12 2 3 4 3" xfId="5909" xr:uid="{00000000-0005-0000-0000-0000020E0000}"/>
    <cellStyle name="Normal 12 2 3 4 3 2" xfId="14351" xr:uid="{E0D714A4-0A95-4E50-A651-1BF83135F1AD}"/>
    <cellStyle name="Normal 12 2 3 4 4" xfId="10133" xr:uid="{0312EAF4-DA27-4445-8CFC-E785510D311D}"/>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7408AEF3-1015-47CF-A924-949022B52BAE}"/>
    <cellStyle name="Normal 12 2 3 5 2 3" xfId="12691" xr:uid="{E875EA21-1ABC-40FB-BD89-F03DA992006D}"/>
    <cellStyle name="Normal 12 2 3 5 3" xfId="6322" xr:uid="{00000000-0005-0000-0000-0000060E0000}"/>
    <cellStyle name="Normal 12 2 3 5 3 2" xfId="14764" xr:uid="{CB364236-9F85-4D20-AE46-592520E7D173}"/>
    <cellStyle name="Normal 12 2 3 5 4" xfId="10546" xr:uid="{C9C6CD07-6449-4994-A3CB-6680B0F5F3D2}"/>
    <cellStyle name="Normal 12 2 3 6" xfId="2451" xr:uid="{00000000-0005-0000-0000-0000070E0000}"/>
    <cellStyle name="Normal 12 2 3 6 2" xfId="6735" xr:uid="{00000000-0005-0000-0000-0000080E0000}"/>
    <cellStyle name="Normal 12 2 3 6 2 2" xfId="15177" xr:uid="{4F75E884-0E3F-4CCB-962B-74EE4F737FDD}"/>
    <cellStyle name="Normal 12 2 3 6 3" xfId="10959" xr:uid="{AE486E05-4E7D-4F37-B5D8-7804318F389C}"/>
    <cellStyle name="Normal 12 2 3 7" xfId="4669" xr:uid="{00000000-0005-0000-0000-0000090E0000}"/>
    <cellStyle name="Normal 12 2 3 7 2" xfId="13111" xr:uid="{4F59F3B0-33C8-4388-B9E3-A105DC0DEBFE}"/>
    <cellStyle name="Normal 12 2 3 8" xfId="8893" xr:uid="{FA89BC49-E9A7-46DA-A98F-643E2ABC9C1D}"/>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728A79DB-D365-42EF-8CD0-9BB32D92832B}"/>
    <cellStyle name="Normal 12 2 4 2 3" xfId="11449" xr:uid="{10A49B8B-AAB3-4145-AE58-7236470ADB3E}"/>
    <cellStyle name="Normal 12 2 4 3" xfId="5080" xr:uid="{00000000-0005-0000-0000-00000D0E0000}"/>
    <cellStyle name="Normal 12 2 4 3 2" xfId="13522" xr:uid="{C32B6417-9D51-4452-A001-D627E720E845}"/>
    <cellStyle name="Normal 12 2 4 4" xfId="9304" xr:uid="{CE1A0CDB-1609-4CB0-BD85-BE2800BFBD57}"/>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2C439A81-79A9-4814-885F-2EDDCC2A820A}"/>
    <cellStyle name="Normal 12 2 5 2 3" xfId="11862" xr:uid="{0B13F627-02B2-431A-A3D8-1FD21B2E4453}"/>
    <cellStyle name="Normal 12 2 5 3" xfId="5493" xr:uid="{00000000-0005-0000-0000-0000110E0000}"/>
    <cellStyle name="Normal 12 2 5 3 2" xfId="13935" xr:uid="{D6AB4425-92EE-46C6-AB21-F1B747F01D0B}"/>
    <cellStyle name="Normal 12 2 5 4" xfId="9717" xr:uid="{37FA2EC2-0733-4273-88F7-36F843919282}"/>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B00B25F1-DFBE-42DF-8E3B-4164DF97CFE2}"/>
    <cellStyle name="Normal 12 2 6 2 3" xfId="12275" xr:uid="{AE00E939-1001-4E5A-920D-216FAAD4E114}"/>
    <cellStyle name="Normal 12 2 6 3" xfId="5906" xr:uid="{00000000-0005-0000-0000-0000150E0000}"/>
    <cellStyle name="Normal 12 2 6 3 2" xfId="14348" xr:uid="{B06AEC81-E9DC-4999-B6FC-C2DAFC5C3907}"/>
    <cellStyle name="Normal 12 2 6 4" xfId="10130" xr:uid="{B3D60DC5-A566-4AE5-B36D-D0A760DD69FF}"/>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55729C94-F77A-48E6-8F60-138888B6C8E6}"/>
    <cellStyle name="Normal 12 2 7 2 3" xfId="12688" xr:uid="{B68FA22A-2582-48D4-B525-89D77ABC86A3}"/>
    <cellStyle name="Normal 12 2 7 3" xfId="6319" xr:uid="{00000000-0005-0000-0000-0000190E0000}"/>
    <cellStyle name="Normal 12 2 7 3 2" xfId="14761" xr:uid="{30EB79A1-F98E-4B22-B0DB-38DB81141721}"/>
    <cellStyle name="Normal 12 2 7 4" xfId="10543" xr:uid="{BF17A4DE-723C-482B-9212-3EF83A858AD8}"/>
    <cellStyle name="Normal 12 2 8" xfId="2448" xr:uid="{00000000-0005-0000-0000-00001A0E0000}"/>
    <cellStyle name="Normal 12 2 8 2" xfId="6732" xr:uid="{00000000-0005-0000-0000-00001B0E0000}"/>
    <cellStyle name="Normal 12 2 8 2 2" xfId="15174" xr:uid="{86AB9D45-65ED-48EF-AA9E-EAE579424652}"/>
    <cellStyle name="Normal 12 2 8 3" xfId="10956" xr:uid="{83413CA3-9804-406A-8682-AA8CBD452BEC}"/>
    <cellStyle name="Normal 12 2 9" xfId="4666" xr:uid="{00000000-0005-0000-0000-00001C0E0000}"/>
    <cellStyle name="Normal 12 2 9 2" xfId="13108" xr:uid="{3BD27A46-79F5-4567-843A-44198BC29A5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A53A3FC0-06C3-4812-ABB1-189C45F61278}"/>
    <cellStyle name="Normal 12 3 2 2 2 3" xfId="11454" xr:uid="{A81B1EC6-C3E8-4128-AE13-12CE34B17B9A}"/>
    <cellStyle name="Normal 12 3 2 2 3" xfId="5085" xr:uid="{00000000-0005-0000-0000-0000220E0000}"/>
    <cellStyle name="Normal 12 3 2 2 3 2" xfId="13527" xr:uid="{B7162137-A51C-43B9-A648-917D571060A9}"/>
    <cellStyle name="Normal 12 3 2 2 4" xfId="9309" xr:uid="{9A46FC44-47F1-4E04-B7B3-D3DED9BFCEF8}"/>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84918342-88B8-4326-B245-C6029F670624}"/>
    <cellStyle name="Normal 12 3 2 3 2 3" xfId="11867" xr:uid="{87268E0B-AFC3-4452-8433-3D9CF12EF6D1}"/>
    <cellStyle name="Normal 12 3 2 3 3" xfId="5498" xr:uid="{00000000-0005-0000-0000-0000260E0000}"/>
    <cellStyle name="Normal 12 3 2 3 3 2" xfId="13940" xr:uid="{DAA127EA-448C-4782-8847-D6FED1E62CD4}"/>
    <cellStyle name="Normal 12 3 2 3 4" xfId="9722" xr:uid="{14D653B8-E42B-4375-974A-51DC4E5F902F}"/>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B84D8985-676B-4F51-87BB-9C845AA17233}"/>
    <cellStyle name="Normal 12 3 2 4 2 3" xfId="12280" xr:uid="{488A5B2B-82AA-4B2E-9567-AB9476C9F954}"/>
    <cellStyle name="Normal 12 3 2 4 3" xfId="5911" xr:uid="{00000000-0005-0000-0000-00002A0E0000}"/>
    <cellStyle name="Normal 12 3 2 4 3 2" xfId="14353" xr:uid="{993E6F77-467B-4AC2-A5BE-A68F5C63926F}"/>
    <cellStyle name="Normal 12 3 2 4 4" xfId="10135" xr:uid="{2D01F1F3-96D8-4D80-A262-DBAC9EF890E2}"/>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820E9B3F-350C-4316-B98E-53A929EA091A}"/>
    <cellStyle name="Normal 12 3 2 5 2 3" xfId="12693" xr:uid="{EBE25503-6FC0-499B-A15F-9DA1A94C6E21}"/>
    <cellStyle name="Normal 12 3 2 5 3" xfId="6324" xr:uid="{00000000-0005-0000-0000-00002E0E0000}"/>
    <cellStyle name="Normal 12 3 2 5 3 2" xfId="14766" xr:uid="{43714C89-6F3E-4150-850B-753FDF3E4BA5}"/>
    <cellStyle name="Normal 12 3 2 5 4" xfId="10548" xr:uid="{70C7645C-573E-43A2-A6F5-6703B05ABE7F}"/>
    <cellStyle name="Normal 12 3 2 6" xfId="2453" xr:uid="{00000000-0005-0000-0000-00002F0E0000}"/>
    <cellStyle name="Normal 12 3 2 6 2" xfId="6737" xr:uid="{00000000-0005-0000-0000-0000300E0000}"/>
    <cellStyle name="Normal 12 3 2 6 2 2" xfId="15179" xr:uid="{5C902E0B-A8F5-497C-97BB-47D6190EB806}"/>
    <cellStyle name="Normal 12 3 2 6 3" xfId="10961" xr:uid="{E8FAD4D6-0597-4719-BF55-DF2FA6CCBD76}"/>
    <cellStyle name="Normal 12 3 2 7" xfId="4671" xr:uid="{00000000-0005-0000-0000-0000310E0000}"/>
    <cellStyle name="Normal 12 3 2 7 2" xfId="13113" xr:uid="{62644635-FC77-4993-961B-3F452B76FC74}"/>
    <cellStyle name="Normal 12 3 2 8" xfId="8895" xr:uid="{6A95592C-8370-435E-A621-9B8309E8774D}"/>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DB4F34CB-F7A4-40AB-87F5-39A638D4D711}"/>
    <cellStyle name="Normal 12 3 3 2 3" xfId="11453" xr:uid="{93DD46E3-CD8D-4C34-9B1F-812AB451B33C}"/>
    <cellStyle name="Normal 12 3 3 3" xfId="5084" xr:uid="{00000000-0005-0000-0000-0000350E0000}"/>
    <cellStyle name="Normal 12 3 3 3 2" xfId="13526" xr:uid="{B42E7F20-1146-40EE-A7F4-48B97676CA8C}"/>
    <cellStyle name="Normal 12 3 3 4" xfId="9308" xr:uid="{7855CFA1-454F-464E-A7A6-42A5C28E7758}"/>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42390394-8CD9-4DB8-8315-A3F0F099BA52}"/>
    <cellStyle name="Normal 12 3 4 2 3" xfId="11866" xr:uid="{C7380A09-EC18-4260-8ED3-0307CAC3956F}"/>
    <cellStyle name="Normal 12 3 4 3" xfId="5497" xr:uid="{00000000-0005-0000-0000-0000390E0000}"/>
    <cellStyle name="Normal 12 3 4 3 2" xfId="13939" xr:uid="{036D7D70-B8C3-4127-916D-439DB45D313D}"/>
    <cellStyle name="Normal 12 3 4 4" xfId="9721" xr:uid="{C3D20AB3-6167-4BD1-850D-AA9B37376455}"/>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3054A992-2A2C-49CD-A4B5-FD8895A19BC5}"/>
    <cellStyle name="Normal 12 3 5 2 3" xfId="12279" xr:uid="{CCA948E5-0DF4-433C-93CD-0DB84AF9FF0D}"/>
    <cellStyle name="Normal 12 3 5 3" xfId="5910" xr:uid="{00000000-0005-0000-0000-00003D0E0000}"/>
    <cellStyle name="Normal 12 3 5 3 2" xfId="14352" xr:uid="{5EFDCDAB-0847-4B98-A7B7-4602060B19E7}"/>
    <cellStyle name="Normal 12 3 5 4" xfId="10134" xr:uid="{85C25B7F-74D1-487D-BC12-5409A89504C8}"/>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6034EE78-6C0B-445A-88A9-559AC16FF797}"/>
    <cellStyle name="Normal 12 3 6 2 3" xfId="12692" xr:uid="{4285C224-D5C6-45DF-9981-ABF2442F2F30}"/>
    <cellStyle name="Normal 12 3 6 3" xfId="6323" xr:uid="{00000000-0005-0000-0000-0000410E0000}"/>
    <cellStyle name="Normal 12 3 6 3 2" xfId="14765" xr:uid="{A76EB7D6-B624-4FE8-927C-D39FA300130A}"/>
    <cellStyle name="Normal 12 3 6 4" xfId="10547" xr:uid="{3C1830D5-25ED-4897-A113-ACCD730B70E9}"/>
    <cellStyle name="Normal 12 3 7" xfId="2452" xr:uid="{00000000-0005-0000-0000-0000420E0000}"/>
    <cellStyle name="Normal 12 3 7 2" xfId="6736" xr:uid="{00000000-0005-0000-0000-0000430E0000}"/>
    <cellStyle name="Normal 12 3 7 2 2" xfId="15178" xr:uid="{9E744E38-6026-4A25-BB1C-FDEEE7B340BD}"/>
    <cellStyle name="Normal 12 3 7 3" xfId="10960" xr:uid="{7CBC0E97-83F1-4B38-989F-958C593E2D3B}"/>
    <cellStyle name="Normal 12 3 8" xfId="4670" xr:uid="{00000000-0005-0000-0000-0000440E0000}"/>
    <cellStyle name="Normal 12 3 8 2" xfId="13112" xr:uid="{B77AC462-9661-43EC-A8AD-03641CAC1067}"/>
    <cellStyle name="Normal 12 3 9" xfId="8894" xr:uid="{C93E55B4-237D-43F1-83D1-12BC627E8D0E}"/>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10A5FF12-0928-4B80-A5DD-D30C7CDC8711}"/>
    <cellStyle name="Normal 12 4 2 2 3" xfId="11455" xr:uid="{A66B53EF-6D51-4137-8BFA-F0F9CC539EC1}"/>
    <cellStyle name="Normal 12 4 2 3" xfId="5086" xr:uid="{00000000-0005-0000-0000-0000490E0000}"/>
    <cellStyle name="Normal 12 4 2 3 2" xfId="13528" xr:uid="{642ABB49-2727-4A04-9A0B-CD80AC7C2DE0}"/>
    <cellStyle name="Normal 12 4 2 4" xfId="9310" xr:uid="{7F670487-644C-483A-899C-5E001078085A}"/>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C260BE22-7D5F-4D96-BB7F-FBDA5D2039B0}"/>
    <cellStyle name="Normal 12 4 3 2 3" xfId="11868" xr:uid="{39124947-2D28-47FB-9C8A-7D7506166770}"/>
    <cellStyle name="Normal 12 4 3 3" xfId="5499" xr:uid="{00000000-0005-0000-0000-00004D0E0000}"/>
    <cellStyle name="Normal 12 4 3 3 2" xfId="13941" xr:uid="{F5BF97B5-F063-4248-8121-52796E2B0D8D}"/>
    <cellStyle name="Normal 12 4 3 4" xfId="9723" xr:uid="{61E55E56-AD95-46A9-85A3-A1292C400538}"/>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904F12F2-0A57-4E53-909D-EE3783126D9F}"/>
    <cellStyle name="Normal 12 4 4 2 3" xfId="12281" xr:uid="{CE345417-ADE7-4681-805A-BB71671548DB}"/>
    <cellStyle name="Normal 12 4 4 3" xfId="5912" xr:uid="{00000000-0005-0000-0000-0000510E0000}"/>
    <cellStyle name="Normal 12 4 4 3 2" xfId="14354" xr:uid="{D4A05A73-37A8-4348-881E-E0D593B499B8}"/>
    <cellStyle name="Normal 12 4 4 4" xfId="10136" xr:uid="{4B3E9210-7D6F-457F-B4E3-1E2F50B630D2}"/>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8C6F4FF2-D374-4D25-AF8E-23CFBF4341F8}"/>
    <cellStyle name="Normal 12 4 5 2 3" xfId="12694" xr:uid="{B2801FC9-CF31-46DA-9A5D-DF3B36F137E1}"/>
    <cellStyle name="Normal 12 4 5 3" xfId="6325" xr:uid="{00000000-0005-0000-0000-0000550E0000}"/>
    <cellStyle name="Normal 12 4 5 3 2" xfId="14767" xr:uid="{7CF961AF-4248-42FD-985B-C1338AF4079B}"/>
    <cellStyle name="Normal 12 4 5 4" xfId="10549" xr:uid="{09F900ED-E84F-46B8-9542-EE862FBC6F09}"/>
    <cellStyle name="Normal 12 4 6" xfId="2454" xr:uid="{00000000-0005-0000-0000-0000560E0000}"/>
    <cellStyle name="Normal 12 4 6 2" xfId="6738" xr:uid="{00000000-0005-0000-0000-0000570E0000}"/>
    <cellStyle name="Normal 12 4 6 2 2" xfId="15180" xr:uid="{B127BD30-987E-4295-8A2E-8DA8DC63F45F}"/>
    <cellStyle name="Normal 12 4 6 3" xfId="10962" xr:uid="{BB763FA6-37F3-41FC-9E8E-2334D7BFD1D2}"/>
    <cellStyle name="Normal 12 4 7" xfId="4672" xr:uid="{00000000-0005-0000-0000-0000580E0000}"/>
    <cellStyle name="Normal 12 4 7 2" xfId="13114" xr:uid="{D225E52C-DA7E-4869-A1C6-B696A1E35746}"/>
    <cellStyle name="Normal 12 4 8" xfId="8896" xr:uid="{878BD4A3-E097-45AF-B10B-5873043DAB06}"/>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402106F3-ACB8-409A-9CE7-9C475C401815}"/>
    <cellStyle name="Normal 12 6 2 3" xfId="11448" xr:uid="{6E18B89B-3D2D-4785-9539-71FD2AFC1193}"/>
    <cellStyle name="Normal 12 6 3" xfId="5079" xr:uid="{00000000-0005-0000-0000-00005D0E0000}"/>
    <cellStyle name="Normal 12 6 3 2" xfId="13521" xr:uid="{17184703-7585-4F30-A587-5416D652A802}"/>
    <cellStyle name="Normal 12 6 4" xfId="9303" xr:uid="{F769A317-443D-46C5-96C4-95E94E1FBB31}"/>
    <cellStyle name="Normal 12 7" xfId="1183" xr:uid="{00000000-0005-0000-0000-00005E0E0000}"/>
    <cellStyle name="Normal 12 7 2" xfId="3414" xr:uid="{00000000-0005-0000-0000-00005F0E0000}"/>
    <cellStyle name="Normal 12 7 2 2" xfId="7637" xr:uid="{00000000-0005-0000-0000-0000600E0000}"/>
    <cellStyle name="Normal 12 7 2 2 2" xfId="16079" xr:uid="{860F7D69-A76F-4C4D-BB2D-061A1EF2D4D9}"/>
    <cellStyle name="Normal 12 7 2 3" xfId="11861" xr:uid="{45033BAA-3199-49A6-852A-58539787F8AA}"/>
    <cellStyle name="Normal 12 7 3" xfId="5492" xr:uid="{00000000-0005-0000-0000-0000610E0000}"/>
    <cellStyle name="Normal 12 7 3 2" xfId="13934" xr:uid="{9042FE07-EDA1-4EAA-A1E9-E132D51BF175}"/>
    <cellStyle name="Normal 12 7 4" xfId="9716" xr:uid="{1BC67CF7-F711-493E-9A16-0ECA0D5915FB}"/>
    <cellStyle name="Normal 12 8" xfId="1597" xr:uid="{00000000-0005-0000-0000-0000620E0000}"/>
    <cellStyle name="Normal 12 8 2" xfId="3827" xr:uid="{00000000-0005-0000-0000-0000630E0000}"/>
    <cellStyle name="Normal 12 8 2 2" xfId="8050" xr:uid="{00000000-0005-0000-0000-0000640E0000}"/>
    <cellStyle name="Normal 12 8 2 2 2" xfId="16492" xr:uid="{70B82202-4865-411C-BDEF-47FD57604B16}"/>
    <cellStyle name="Normal 12 8 2 3" xfId="12274" xr:uid="{BA0290EA-7117-464A-8550-B5B6C65DBCD6}"/>
    <cellStyle name="Normal 12 8 3" xfId="5905" xr:uid="{00000000-0005-0000-0000-0000650E0000}"/>
    <cellStyle name="Normal 12 8 3 2" xfId="14347" xr:uid="{F2C32D1F-7124-4D2B-8E32-C645E4232F5E}"/>
    <cellStyle name="Normal 12 8 4" xfId="10129" xr:uid="{230738E0-008F-4849-B8CB-B37992B9E523}"/>
    <cellStyle name="Normal 12 9" xfId="2011" xr:uid="{00000000-0005-0000-0000-0000660E0000}"/>
    <cellStyle name="Normal 12 9 2" xfId="4240" xr:uid="{00000000-0005-0000-0000-0000670E0000}"/>
    <cellStyle name="Normal 12 9 2 2" xfId="8463" xr:uid="{00000000-0005-0000-0000-0000680E0000}"/>
    <cellStyle name="Normal 12 9 2 2 2" xfId="16905" xr:uid="{7DBC93FE-42C8-4B86-9C77-C983CA24E59B}"/>
    <cellStyle name="Normal 12 9 2 3" xfId="12687" xr:uid="{72C7DA00-94BF-4ECB-BDF5-7756BA0568FA}"/>
    <cellStyle name="Normal 12 9 3" xfId="6318" xr:uid="{00000000-0005-0000-0000-0000690E0000}"/>
    <cellStyle name="Normal 12 9 3 2" xfId="14760" xr:uid="{57793AC6-062F-41D2-A76C-4DACBA3BEF2C}"/>
    <cellStyle name="Normal 12 9 4" xfId="10542" xr:uid="{AA281772-8AF2-43A8-A7A7-903FA9C725C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8EA8405A-B587-4D0B-A2B0-7DB4A14DC8AC}"/>
    <cellStyle name="Normal 14 2 2 3" xfId="11456" xr:uid="{4C433E84-EABF-422B-A090-70E8E4D47D8A}"/>
    <cellStyle name="Normal 14 2 3" xfId="5087" xr:uid="{00000000-0005-0000-0000-0000700E0000}"/>
    <cellStyle name="Normal 14 2 3 2" xfId="13529" xr:uid="{F3BB053A-F2A3-4411-B946-1981EAEB7884}"/>
    <cellStyle name="Normal 14 2 4" xfId="9311" xr:uid="{F31F0FE0-140D-40FA-B8AD-B5E6C5DBB7A3}"/>
    <cellStyle name="Normal 14 3" xfId="1191" xr:uid="{00000000-0005-0000-0000-0000710E0000}"/>
    <cellStyle name="Normal 14 3 2" xfId="3422" xr:uid="{00000000-0005-0000-0000-0000720E0000}"/>
    <cellStyle name="Normal 14 3 2 2" xfId="7645" xr:uid="{00000000-0005-0000-0000-0000730E0000}"/>
    <cellStyle name="Normal 14 3 2 2 2" xfId="16087" xr:uid="{5967AB31-9B85-42AB-88CB-23E973720540}"/>
    <cellStyle name="Normal 14 3 2 3" xfId="11869" xr:uid="{2BC05A00-6A40-4CB5-8D1E-75AFCFF48F2E}"/>
    <cellStyle name="Normal 14 3 3" xfId="5500" xr:uid="{00000000-0005-0000-0000-0000740E0000}"/>
    <cellStyle name="Normal 14 3 3 2" xfId="13942" xr:uid="{A5658BF0-6F17-42BD-B216-4992240E56CD}"/>
    <cellStyle name="Normal 14 3 4" xfId="9724" xr:uid="{37CC2A35-A0F1-4DC3-97D5-C18985FB5643}"/>
    <cellStyle name="Normal 14 4" xfId="1605" xr:uid="{00000000-0005-0000-0000-0000750E0000}"/>
    <cellStyle name="Normal 14 4 2" xfId="3835" xr:uid="{00000000-0005-0000-0000-0000760E0000}"/>
    <cellStyle name="Normal 14 4 2 2" xfId="8058" xr:uid="{00000000-0005-0000-0000-0000770E0000}"/>
    <cellStyle name="Normal 14 4 2 2 2" xfId="16500" xr:uid="{BB752D6A-7598-4388-82B5-2449F072F3EC}"/>
    <cellStyle name="Normal 14 4 2 3" xfId="12282" xr:uid="{DB7F1517-962D-423B-B2B7-FAED8945F54F}"/>
    <cellStyle name="Normal 14 4 3" xfId="5913" xr:uid="{00000000-0005-0000-0000-0000780E0000}"/>
    <cellStyle name="Normal 14 4 3 2" xfId="14355" xr:uid="{9840BEBF-C37C-4F62-9C44-FE8590CDEE55}"/>
    <cellStyle name="Normal 14 4 4" xfId="10137" xr:uid="{CE77F325-C331-4709-A67C-2F92D393FF8B}"/>
    <cellStyle name="Normal 14 5" xfId="2019" xr:uid="{00000000-0005-0000-0000-0000790E0000}"/>
    <cellStyle name="Normal 14 5 2" xfId="4248" xr:uid="{00000000-0005-0000-0000-00007A0E0000}"/>
    <cellStyle name="Normal 14 5 2 2" xfId="8471" xr:uid="{00000000-0005-0000-0000-00007B0E0000}"/>
    <cellStyle name="Normal 14 5 2 2 2" xfId="16913" xr:uid="{8A14FB17-C01D-4937-ADE6-670587E08B70}"/>
    <cellStyle name="Normal 14 5 2 3" xfId="12695" xr:uid="{1EB60595-2582-400E-BA74-B3F79F013415}"/>
    <cellStyle name="Normal 14 5 3" xfId="6326" xr:uid="{00000000-0005-0000-0000-00007C0E0000}"/>
    <cellStyle name="Normal 14 5 3 2" xfId="14768" xr:uid="{3D709E3D-B573-4C83-AE39-A95C4C627A90}"/>
    <cellStyle name="Normal 14 5 4" xfId="10550" xr:uid="{301BFCD4-A577-457A-B52A-D827A9587D00}"/>
    <cellStyle name="Normal 14 6" xfId="2455" xr:uid="{00000000-0005-0000-0000-00007D0E0000}"/>
    <cellStyle name="Normal 14 6 2" xfId="6739" xr:uid="{00000000-0005-0000-0000-00007E0E0000}"/>
    <cellStyle name="Normal 14 6 2 2" xfId="15181" xr:uid="{9A961475-F786-4777-B50A-351EA114D41B}"/>
    <cellStyle name="Normal 14 6 3" xfId="10963" xr:uid="{DF368B0B-2D9A-46E4-9EEE-2527FDB20984}"/>
    <cellStyle name="Normal 14 7" xfId="4673" xr:uid="{00000000-0005-0000-0000-00007F0E0000}"/>
    <cellStyle name="Normal 14 7 2" xfId="13115" xr:uid="{7CDC31DA-13BE-47CB-943C-523E43F44439}"/>
    <cellStyle name="Normal 14 8" xfId="8897" xr:uid="{430444B2-42FE-4594-B9B5-1A70861F8A72}"/>
    <cellStyle name="Normal 15" xfId="4496" xr:uid="{00000000-0005-0000-0000-0000800E0000}"/>
    <cellStyle name="Normal 15 2" xfId="12941" xr:uid="{31447D00-42A7-4983-A3D2-759234D6CD8D}"/>
    <cellStyle name="Normal 16" xfId="4500" xr:uid="{00000000-0005-0000-0000-0000810E0000}"/>
    <cellStyle name="Normal 16 2" xfId="8716" xr:uid="{00000000-0005-0000-0000-0000820E0000}"/>
    <cellStyle name="Normal 16 2 2" xfId="17158" xr:uid="{A5758927-1FE0-4C86-A09A-79A6722D7A58}"/>
    <cellStyle name="Normal 16 3" xfId="8719" xr:uid="{3DE1BEEB-61FA-4094-B10F-9E0444F68763}"/>
    <cellStyle name="Normal 16 3 2" xfId="8723" xr:uid="{FE0BC069-4698-40B2-814D-8E09719245E9}"/>
    <cellStyle name="Normal 16 3 2 2" xfId="8726" xr:uid="{D3E9609F-293A-4CFC-B194-1FF2F92D621D}"/>
    <cellStyle name="Normal 16 3 2 2 2" xfId="17167" xr:uid="{F2151D73-88DA-4937-9190-6CC86A8BBC0E}"/>
    <cellStyle name="Normal 16 3 2 3" xfId="17164" xr:uid="{5C0E9A7E-0E20-4BB9-B0FA-B70C09130776}"/>
    <cellStyle name="Normal 16 3 3" xfId="17161" xr:uid="{E72A583B-7381-4F39-8D54-F4EBBA88B669}"/>
    <cellStyle name="Normal 16 4" xfId="12944" xr:uid="{1828256C-AF8B-4325-94BF-E691B780ABF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4DED45F2-73C9-48F7-A823-6528A00C1606}"/>
    <cellStyle name="Normal 2 4 2 10 2 3" xfId="12696" xr:uid="{2CEE0024-93DA-4CB6-8BD6-9E46C2812844}"/>
    <cellStyle name="Normal 2 4 2 10 3" xfId="6327" xr:uid="{00000000-0005-0000-0000-0000910E0000}"/>
    <cellStyle name="Normal 2 4 2 10 3 2" xfId="14769" xr:uid="{C1569121-1473-424D-B398-91540FA72009}"/>
    <cellStyle name="Normal 2 4 2 10 4" xfId="10551" xr:uid="{E80D3950-46F4-4A19-A7E8-0F127B2FA4AA}"/>
    <cellStyle name="Normal 2 4 2 11" xfId="2456" xr:uid="{00000000-0005-0000-0000-0000920E0000}"/>
    <cellStyle name="Normal 2 4 2 11 2" xfId="6740" xr:uid="{00000000-0005-0000-0000-0000930E0000}"/>
    <cellStyle name="Normal 2 4 2 11 2 2" xfId="15182" xr:uid="{7B790C6A-BEE1-419E-826D-9B54EA995E8E}"/>
    <cellStyle name="Normal 2 4 2 11 3" xfId="10964" xr:uid="{9F1EFB9D-9ED0-4973-960E-55CB874CFF04}"/>
    <cellStyle name="Normal 2 4 2 12" xfId="4674" xr:uid="{00000000-0005-0000-0000-0000940E0000}"/>
    <cellStyle name="Normal 2 4 2 12 2" xfId="13116" xr:uid="{CBB84952-BB92-4A6F-8DF7-C6A70BD41484}"/>
    <cellStyle name="Normal 2 4 2 13" xfId="8898" xr:uid="{40BA6E17-DCDA-4A14-87AA-C8304CF8A2B0}"/>
    <cellStyle name="Normal 2 4 2 2" xfId="280" xr:uid="{00000000-0005-0000-0000-0000950E0000}"/>
    <cellStyle name="Normal 2 4 2 3" xfId="281" xr:uid="{00000000-0005-0000-0000-0000960E0000}"/>
    <cellStyle name="Normal 2 4 2 3 10" xfId="4675" xr:uid="{00000000-0005-0000-0000-0000970E0000}"/>
    <cellStyle name="Normal 2 4 2 3 10 2" xfId="13117" xr:uid="{76D18350-2898-4F4D-B10F-985BF37F7D48}"/>
    <cellStyle name="Normal 2 4 2 3 11" xfId="8899" xr:uid="{467B63EE-7BE3-42DE-9A44-909EEF1A74B2}"/>
    <cellStyle name="Normal 2 4 2 3 2" xfId="282" xr:uid="{00000000-0005-0000-0000-0000980E0000}"/>
    <cellStyle name="Normal 2 4 2 3 2 10" xfId="8900" xr:uid="{5D713CD2-85B7-480F-BF6E-43FBD7442F9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8DF35E61-C7C2-4510-8DBE-D645D60122A9}"/>
    <cellStyle name="Normal 2 4 2 3 2 2 2 2 2 3" xfId="11461" xr:uid="{429FBB9C-8EF6-4AD4-8B6E-1316BF886F35}"/>
    <cellStyle name="Normal 2 4 2 3 2 2 2 2 3" xfId="5092" xr:uid="{00000000-0005-0000-0000-00009E0E0000}"/>
    <cellStyle name="Normal 2 4 2 3 2 2 2 2 3 2" xfId="13534" xr:uid="{2429A71A-071F-43F6-9E9A-F4505107A88D}"/>
    <cellStyle name="Normal 2 4 2 3 2 2 2 2 4" xfId="9316" xr:uid="{38C1DECC-5208-42B1-A4F9-98AF32485DE7}"/>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25CF3232-1335-47D4-9FC7-230B55CA982D}"/>
    <cellStyle name="Normal 2 4 2 3 2 2 2 3 2 3" xfId="11874" xr:uid="{A2F9CBD8-441D-44C9-890A-0291321757C5}"/>
    <cellStyle name="Normal 2 4 2 3 2 2 2 3 3" xfId="5505" xr:uid="{00000000-0005-0000-0000-0000A20E0000}"/>
    <cellStyle name="Normal 2 4 2 3 2 2 2 3 3 2" xfId="13947" xr:uid="{0DC4923F-6D36-4F82-90FF-4A6892FF16D7}"/>
    <cellStyle name="Normal 2 4 2 3 2 2 2 3 4" xfId="9729" xr:uid="{01672D19-460F-4B43-BB18-4C1E7B812426}"/>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1485AE9E-91A8-4870-A42F-36BD5706356C}"/>
    <cellStyle name="Normal 2 4 2 3 2 2 2 4 2 3" xfId="12287" xr:uid="{FAB64623-D65E-4B99-8FB6-25CC22FEB84C}"/>
    <cellStyle name="Normal 2 4 2 3 2 2 2 4 3" xfId="5918" xr:uid="{00000000-0005-0000-0000-0000A60E0000}"/>
    <cellStyle name="Normal 2 4 2 3 2 2 2 4 3 2" xfId="14360" xr:uid="{69D3B222-DCAF-4291-9D4E-EE7BC034C20F}"/>
    <cellStyle name="Normal 2 4 2 3 2 2 2 4 4" xfId="10142" xr:uid="{C196E19F-8B4A-4D61-82DC-4A5D26A6709F}"/>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174159D9-8C67-480E-ADBA-C45998D775B2}"/>
    <cellStyle name="Normal 2 4 2 3 2 2 2 5 2 3" xfId="12700" xr:uid="{8EB10647-EFC2-431F-92DA-4766DA1648A0}"/>
    <cellStyle name="Normal 2 4 2 3 2 2 2 5 3" xfId="6331" xr:uid="{00000000-0005-0000-0000-0000AA0E0000}"/>
    <cellStyle name="Normal 2 4 2 3 2 2 2 5 3 2" xfId="14773" xr:uid="{487FA9C9-9888-4E46-839C-CD7CA152A07C}"/>
    <cellStyle name="Normal 2 4 2 3 2 2 2 5 4" xfId="10555" xr:uid="{6B97B73A-244A-423C-97AF-B3D032F860A5}"/>
    <cellStyle name="Normal 2 4 2 3 2 2 2 6" xfId="2460" xr:uid="{00000000-0005-0000-0000-0000AB0E0000}"/>
    <cellStyle name="Normal 2 4 2 3 2 2 2 6 2" xfId="6744" xr:uid="{00000000-0005-0000-0000-0000AC0E0000}"/>
    <cellStyle name="Normal 2 4 2 3 2 2 2 6 2 2" xfId="15186" xr:uid="{21CB8D5C-E98E-41E8-BB74-7491A0C2E684}"/>
    <cellStyle name="Normal 2 4 2 3 2 2 2 6 3" xfId="10968" xr:uid="{3ECA9294-B659-463A-86FD-20B9B03FE933}"/>
    <cellStyle name="Normal 2 4 2 3 2 2 2 7" xfId="4678" xr:uid="{00000000-0005-0000-0000-0000AD0E0000}"/>
    <cellStyle name="Normal 2 4 2 3 2 2 2 7 2" xfId="13120" xr:uid="{C96BDE6D-E7EF-40F3-B642-8F69EF5D4CDA}"/>
    <cellStyle name="Normal 2 4 2 3 2 2 2 8" xfId="8902" xr:uid="{BD69AA24-699C-4D9D-B485-E47647A3DA4B}"/>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2A0B5ADE-72F7-4CDE-9AB6-7C74B1002A67}"/>
    <cellStyle name="Normal 2 4 2 3 2 2 3 2 3" xfId="11460" xr:uid="{8A5D2B3C-AC9B-4966-849F-85844793066C}"/>
    <cellStyle name="Normal 2 4 2 3 2 2 3 3" xfId="5091" xr:uid="{00000000-0005-0000-0000-0000B10E0000}"/>
    <cellStyle name="Normal 2 4 2 3 2 2 3 3 2" xfId="13533" xr:uid="{16F4992B-563C-4FEA-B308-570787E49EF6}"/>
    <cellStyle name="Normal 2 4 2 3 2 2 3 4" xfId="9315" xr:uid="{71F72153-864D-4BC5-98CE-D1F79E406B5C}"/>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F94C330D-C380-489A-89D7-3DE0CB6D7429}"/>
    <cellStyle name="Normal 2 4 2 3 2 2 4 2 3" xfId="11873" xr:uid="{EA3FAD68-AC26-48D8-B66D-7174FF6EE005}"/>
    <cellStyle name="Normal 2 4 2 3 2 2 4 3" xfId="5504" xr:uid="{00000000-0005-0000-0000-0000B50E0000}"/>
    <cellStyle name="Normal 2 4 2 3 2 2 4 3 2" xfId="13946" xr:uid="{D7C86EAF-3136-4644-80AC-1552904D1F5D}"/>
    <cellStyle name="Normal 2 4 2 3 2 2 4 4" xfId="9728" xr:uid="{6FE96668-73A7-4BCC-89EA-2A93C11CE5F6}"/>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FD09FA35-82B6-42E7-810B-499AFAEB2F4D}"/>
    <cellStyle name="Normal 2 4 2 3 2 2 5 2 3" xfId="12286" xr:uid="{F2F043B6-1B34-492F-9D96-B5E0D21D3E33}"/>
    <cellStyle name="Normal 2 4 2 3 2 2 5 3" xfId="5917" xr:uid="{00000000-0005-0000-0000-0000B90E0000}"/>
    <cellStyle name="Normal 2 4 2 3 2 2 5 3 2" xfId="14359" xr:uid="{EB0237B6-5DD5-4935-ABE2-E0C824314A3C}"/>
    <cellStyle name="Normal 2 4 2 3 2 2 5 4" xfId="10141" xr:uid="{064B6B44-3825-45D6-A892-1A860384303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7416473C-D531-4C3C-B929-3FDADB89AA60}"/>
    <cellStyle name="Normal 2 4 2 3 2 2 6 2 3" xfId="12699" xr:uid="{FB98D1E0-9BF7-4042-8890-8953E581A5E6}"/>
    <cellStyle name="Normal 2 4 2 3 2 2 6 3" xfId="6330" xr:uid="{00000000-0005-0000-0000-0000BD0E0000}"/>
    <cellStyle name="Normal 2 4 2 3 2 2 6 3 2" xfId="14772" xr:uid="{B79A706E-AB78-4ECF-94E6-3C52C5A80711}"/>
    <cellStyle name="Normal 2 4 2 3 2 2 6 4" xfId="10554" xr:uid="{73B46A1D-3E53-496C-9348-685297EA49AE}"/>
    <cellStyle name="Normal 2 4 2 3 2 2 7" xfId="2459" xr:uid="{00000000-0005-0000-0000-0000BE0E0000}"/>
    <cellStyle name="Normal 2 4 2 3 2 2 7 2" xfId="6743" xr:uid="{00000000-0005-0000-0000-0000BF0E0000}"/>
    <cellStyle name="Normal 2 4 2 3 2 2 7 2 2" xfId="15185" xr:uid="{8B1DC707-6C75-4E7C-B42E-6DA45F690736}"/>
    <cellStyle name="Normal 2 4 2 3 2 2 7 3" xfId="10967" xr:uid="{5D46C24C-52AB-4033-8D1F-454C63E5ED64}"/>
    <cellStyle name="Normal 2 4 2 3 2 2 8" xfId="4677" xr:uid="{00000000-0005-0000-0000-0000C00E0000}"/>
    <cellStyle name="Normal 2 4 2 3 2 2 8 2" xfId="13119" xr:uid="{98789E1F-3047-482B-8CB6-F43F1D87C552}"/>
    <cellStyle name="Normal 2 4 2 3 2 2 9" xfId="8901" xr:uid="{C9D24E22-D865-43E8-B121-F3B7D42D881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46C3EBA2-7695-443A-AAE2-A25055F15E23}"/>
    <cellStyle name="Normal 2 4 2 3 2 3 2 2 3" xfId="11462" xr:uid="{76C20421-BB94-44C8-8D97-9F3F84280435}"/>
    <cellStyle name="Normal 2 4 2 3 2 3 2 3" xfId="5093" xr:uid="{00000000-0005-0000-0000-0000C50E0000}"/>
    <cellStyle name="Normal 2 4 2 3 2 3 2 3 2" xfId="13535" xr:uid="{ADA3E899-17C4-464F-965B-CBF78CC9D9D9}"/>
    <cellStyle name="Normal 2 4 2 3 2 3 2 4" xfId="9317" xr:uid="{7CFCE6FC-BD9D-4D5F-94E1-A9DFBB93FDA1}"/>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B8B592CE-E0C4-4242-8B24-130F6C406D3F}"/>
    <cellStyle name="Normal 2 4 2 3 2 3 3 2 3" xfId="11875" xr:uid="{CB30779A-2553-4F72-9C0F-9BD9CCCB70E4}"/>
    <cellStyle name="Normal 2 4 2 3 2 3 3 3" xfId="5506" xr:uid="{00000000-0005-0000-0000-0000C90E0000}"/>
    <cellStyle name="Normal 2 4 2 3 2 3 3 3 2" xfId="13948" xr:uid="{BF07D700-13B8-4020-92CE-5BB38B69CEB2}"/>
    <cellStyle name="Normal 2 4 2 3 2 3 3 4" xfId="9730" xr:uid="{4BB75605-26F0-455B-BFF4-B032CF76B1E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20D5649-6C37-411C-8048-14B052B77F79}"/>
    <cellStyle name="Normal 2 4 2 3 2 3 4 2 3" xfId="12288" xr:uid="{AB9D6B2F-5F03-4A51-8BFB-39D4AAB8249F}"/>
    <cellStyle name="Normal 2 4 2 3 2 3 4 3" xfId="5919" xr:uid="{00000000-0005-0000-0000-0000CD0E0000}"/>
    <cellStyle name="Normal 2 4 2 3 2 3 4 3 2" xfId="14361" xr:uid="{740EB9CB-190C-41FE-BB76-F96BAFEC7EE6}"/>
    <cellStyle name="Normal 2 4 2 3 2 3 4 4" xfId="10143" xr:uid="{47B5F08A-D016-456D-9481-D42BCEA08C6D}"/>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754BBFB5-68A2-42D9-9D50-8A362A46AB46}"/>
    <cellStyle name="Normal 2 4 2 3 2 3 5 2 3" xfId="12701" xr:uid="{CF236211-527E-4B1A-87B2-8B04CBEAB968}"/>
    <cellStyle name="Normal 2 4 2 3 2 3 5 3" xfId="6332" xr:uid="{00000000-0005-0000-0000-0000D10E0000}"/>
    <cellStyle name="Normal 2 4 2 3 2 3 5 3 2" xfId="14774" xr:uid="{F453813A-F2F4-4F0F-96EC-107FC19BAA72}"/>
    <cellStyle name="Normal 2 4 2 3 2 3 5 4" xfId="10556" xr:uid="{3BDFFF88-AB42-47B4-91C0-2B343CF5D0CE}"/>
    <cellStyle name="Normal 2 4 2 3 2 3 6" xfId="2461" xr:uid="{00000000-0005-0000-0000-0000D20E0000}"/>
    <cellStyle name="Normal 2 4 2 3 2 3 6 2" xfId="6745" xr:uid="{00000000-0005-0000-0000-0000D30E0000}"/>
    <cellStyle name="Normal 2 4 2 3 2 3 6 2 2" xfId="15187" xr:uid="{08B6A085-D170-4589-BABC-DE25C91BDA90}"/>
    <cellStyle name="Normal 2 4 2 3 2 3 6 3" xfId="10969" xr:uid="{E3CB7B3F-BD3D-4D69-8397-1EF9F0BC261D}"/>
    <cellStyle name="Normal 2 4 2 3 2 3 7" xfId="4679" xr:uid="{00000000-0005-0000-0000-0000D40E0000}"/>
    <cellStyle name="Normal 2 4 2 3 2 3 7 2" xfId="13121" xr:uid="{814D6F5D-E77C-4D84-95A4-A040BCEA0A00}"/>
    <cellStyle name="Normal 2 4 2 3 2 3 8" xfId="8903" xr:uid="{22840263-8324-4CB2-A446-E9B462E1C46A}"/>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346214A2-3A17-4659-8ADD-AA23A8C0B035}"/>
    <cellStyle name="Normal 2 4 2 3 2 4 2 3" xfId="11459" xr:uid="{29E8DE72-5E93-47D2-866F-F1AEE6919298}"/>
    <cellStyle name="Normal 2 4 2 3 2 4 3" xfId="5090" xr:uid="{00000000-0005-0000-0000-0000D80E0000}"/>
    <cellStyle name="Normal 2 4 2 3 2 4 3 2" xfId="13532" xr:uid="{C8328EE8-F5D3-4F3A-8D1A-F67C2A38B20C}"/>
    <cellStyle name="Normal 2 4 2 3 2 4 4" xfId="9314" xr:uid="{CC939848-D6D8-488C-A157-DDFA650FE0DD}"/>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93452774-BAED-4EE0-9237-45AFB1B38CA1}"/>
    <cellStyle name="Normal 2 4 2 3 2 5 2 3" xfId="11872" xr:uid="{039A0C42-D582-4326-AB62-68F492896283}"/>
    <cellStyle name="Normal 2 4 2 3 2 5 3" xfId="5503" xr:uid="{00000000-0005-0000-0000-0000DC0E0000}"/>
    <cellStyle name="Normal 2 4 2 3 2 5 3 2" xfId="13945" xr:uid="{0C638FBE-C226-4B4C-9B23-0DE716EE0F11}"/>
    <cellStyle name="Normal 2 4 2 3 2 5 4" xfId="9727" xr:uid="{CC3BC5BE-AB7D-4AAF-8E04-988C8762A13E}"/>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FB3966B5-3FA4-408D-9E7C-CE64C6DFCE7D}"/>
    <cellStyle name="Normal 2 4 2 3 2 6 2 3" xfId="12285" xr:uid="{119D7E2C-E770-4102-A93D-3BC6E7FB8D89}"/>
    <cellStyle name="Normal 2 4 2 3 2 6 3" xfId="5916" xr:uid="{00000000-0005-0000-0000-0000E00E0000}"/>
    <cellStyle name="Normal 2 4 2 3 2 6 3 2" xfId="14358" xr:uid="{64CA731E-595F-4CBD-A92F-4BB45D483E16}"/>
    <cellStyle name="Normal 2 4 2 3 2 6 4" xfId="10140" xr:uid="{992D21A3-8BEE-43E6-8333-009CC2008F24}"/>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346C414F-D4E3-45B8-99DA-43B061641C31}"/>
    <cellStyle name="Normal 2 4 2 3 2 7 2 3" xfId="12698" xr:uid="{9DB0AEC1-B763-4466-83AB-531900854D0D}"/>
    <cellStyle name="Normal 2 4 2 3 2 7 3" xfId="6329" xr:uid="{00000000-0005-0000-0000-0000E40E0000}"/>
    <cellStyle name="Normal 2 4 2 3 2 7 3 2" xfId="14771" xr:uid="{3E7EC92F-F42D-437F-97DB-F43E0514AD50}"/>
    <cellStyle name="Normal 2 4 2 3 2 7 4" xfId="10553" xr:uid="{22AB930F-050E-48A7-B301-C7AE0048E5C6}"/>
    <cellStyle name="Normal 2 4 2 3 2 8" xfId="2458" xr:uid="{00000000-0005-0000-0000-0000E50E0000}"/>
    <cellStyle name="Normal 2 4 2 3 2 8 2" xfId="6742" xr:uid="{00000000-0005-0000-0000-0000E60E0000}"/>
    <cellStyle name="Normal 2 4 2 3 2 8 2 2" xfId="15184" xr:uid="{ACC0ECC0-4D31-4C20-90C7-C6B99A03AF15}"/>
    <cellStyle name="Normal 2 4 2 3 2 8 3" xfId="10966" xr:uid="{DFBE69D0-F8F6-47A4-8962-3463E5EEBC36}"/>
    <cellStyle name="Normal 2 4 2 3 2 9" xfId="4676" xr:uid="{00000000-0005-0000-0000-0000E70E0000}"/>
    <cellStyle name="Normal 2 4 2 3 2 9 2" xfId="13118" xr:uid="{6A1E6D5D-4169-441A-949B-DEBD02FDBA4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87B2416F-63A4-4EDC-B5C7-C25364338FE5}"/>
    <cellStyle name="Normal 2 4 2 3 3 2 2 2 3" xfId="11464" xr:uid="{A777BF8F-D1E8-43D8-9F2A-BE05FB596565}"/>
    <cellStyle name="Normal 2 4 2 3 3 2 2 3" xfId="5095" xr:uid="{00000000-0005-0000-0000-0000ED0E0000}"/>
    <cellStyle name="Normal 2 4 2 3 3 2 2 3 2" xfId="13537" xr:uid="{2CF4A85C-2865-4638-9261-2E2177B24EE0}"/>
    <cellStyle name="Normal 2 4 2 3 3 2 2 4" xfId="9319" xr:uid="{81562781-4D0B-4777-AB6E-AE35EAE1DEB3}"/>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2C0B4948-C0A0-4F98-8309-0AB06C4FC654}"/>
    <cellStyle name="Normal 2 4 2 3 3 2 3 2 3" xfId="11877" xr:uid="{6EF9B5B4-D61E-4454-92A5-412675BBA786}"/>
    <cellStyle name="Normal 2 4 2 3 3 2 3 3" xfId="5508" xr:uid="{00000000-0005-0000-0000-0000F10E0000}"/>
    <cellStyle name="Normal 2 4 2 3 3 2 3 3 2" xfId="13950" xr:uid="{BEA86692-FC40-4ECA-A17D-BEECC713B478}"/>
    <cellStyle name="Normal 2 4 2 3 3 2 3 4" xfId="9732" xr:uid="{B3837890-1FF7-44A6-8ACB-3F3E2DBC2A5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DDB10C21-ED1F-412A-8D17-27C91652804F}"/>
    <cellStyle name="Normal 2 4 2 3 3 2 4 2 3" xfId="12290" xr:uid="{3E0BD265-A725-4BA7-8E82-AEA2083414DF}"/>
    <cellStyle name="Normal 2 4 2 3 3 2 4 3" xfId="5921" xr:uid="{00000000-0005-0000-0000-0000F50E0000}"/>
    <cellStyle name="Normal 2 4 2 3 3 2 4 3 2" xfId="14363" xr:uid="{F8FFD51D-ACD7-4CE6-A509-3326AB5A81F5}"/>
    <cellStyle name="Normal 2 4 2 3 3 2 4 4" xfId="10145" xr:uid="{7568FE6E-4A7D-4DF3-B797-820444FF52EA}"/>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33F80AC3-CDED-49B1-96CF-76A3DC9D6464}"/>
    <cellStyle name="Normal 2 4 2 3 3 2 5 2 3" xfId="12703" xr:uid="{DF00DF62-57CF-426C-8856-8417249D58ED}"/>
    <cellStyle name="Normal 2 4 2 3 3 2 5 3" xfId="6334" xr:uid="{00000000-0005-0000-0000-0000F90E0000}"/>
    <cellStyle name="Normal 2 4 2 3 3 2 5 3 2" xfId="14776" xr:uid="{D4B09C09-7ACE-462B-ADA2-709605CB720B}"/>
    <cellStyle name="Normal 2 4 2 3 3 2 5 4" xfId="10558" xr:uid="{54286DCC-BDBD-4DEF-B300-8389D664ADC0}"/>
    <cellStyle name="Normal 2 4 2 3 3 2 6" xfId="2463" xr:uid="{00000000-0005-0000-0000-0000FA0E0000}"/>
    <cellStyle name="Normal 2 4 2 3 3 2 6 2" xfId="6747" xr:uid="{00000000-0005-0000-0000-0000FB0E0000}"/>
    <cellStyle name="Normal 2 4 2 3 3 2 6 2 2" xfId="15189" xr:uid="{147D73E8-58E0-4AC5-8791-9E02DBC9435D}"/>
    <cellStyle name="Normal 2 4 2 3 3 2 6 3" xfId="10971" xr:uid="{CCE0574B-C8D5-41F2-9A1B-AEF8CE044E06}"/>
    <cellStyle name="Normal 2 4 2 3 3 2 7" xfId="4681" xr:uid="{00000000-0005-0000-0000-0000FC0E0000}"/>
    <cellStyle name="Normal 2 4 2 3 3 2 7 2" xfId="13123" xr:uid="{0F27D370-6E0C-4113-80BF-DCA0A46E45C5}"/>
    <cellStyle name="Normal 2 4 2 3 3 2 8" xfId="8905" xr:uid="{A604EF97-DDE5-40B5-856D-62596F62ECCE}"/>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2F8FFEBA-844A-49F2-920A-A670C4070F19}"/>
    <cellStyle name="Normal 2 4 2 3 3 3 2 3" xfId="11463" xr:uid="{FDD42002-E508-4EA9-84F8-A0697D5D2551}"/>
    <cellStyle name="Normal 2 4 2 3 3 3 3" xfId="5094" xr:uid="{00000000-0005-0000-0000-0000000F0000}"/>
    <cellStyle name="Normal 2 4 2 3 3 3 3 2" xfId="13536" xr:uid="{D349C8B9-D51D-487B-B34C-D54B84E2084C}"/>
    <cellStyle name="Normal 2 4 2 3 3 3 4" xfId="9318" xr:uid="{D5AA5BB3-9843-4F40-A3B6-71FD866FD7C5}"/>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7BDF19E5-1F1C-40FE-86E2-A05ACAFEA868}"/>
    <cellStyle name="Normal 2 4 2 3 3 4 2 3" xfId="11876" xr:uid="{607F23F6-85D8-434C-88A7-45D3D430BEF6}"/>
    <cellStyle name="Normal 2 4 2 3 3 4 3" xfId="5507" xr:uid="{00000000-0005-0000-0000-0000040F0000}"/>
    <cellStyle name="Normal 2 4 2 3 3 4 3 2" xfId="13949" xr:uid="{825324D7-EDF3-4C95-92E0-C8B7DF32FABC}"/>
    <cellStyle name="Normal 2 4 2 3 3 4 4" xfId="9731" xr:uid="{266CD650-D3C8-43C8-93B6-5736328B39BC}"/>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D62556E0-1047-4FCB-9B64-57A522FD8E6E}"/>
    <cellStyle name="Normal 2 4 2 3 3 5 2 3" xfId="12289" xr:uid="{56A66F1B-517C-4DD4-8818-698DC6A24068}"/>
    <cellStyle name="Normal 2 4 2 3 3 5 3" xfId="5920" xr:uid="{00000000-0005-0000-0000-0000080F0000}"/>
    <cellStyle name="Normal 2 4 2 3 3 5 3 2" xfId="14362" xr:uid="{FCA00160-D13F-4204-9C75-31F05608ECD5}"/>
    <cellStyle name="Normal 2 4 2 3 3 5 4" xfId="10144" xr:uid="{B30D87E2-35A6-4564-BDB0-ABBD2829BD44}"/>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1C83FD4A-5BB8-47F4-85DC-A11EB18E7B70}"/>
    <cellStyle name="Normal 2 4 2 3 3 6 2 3" xfId="12702" xr:uid="{4B3F765C-DA76-4DF2-9ADB-16A298C920C6}"/>
    <cellStyle name="Normal 2 4 2 3 3 6 3" xfId="6333" xr:uid="{00000000-0005-0000-0000-00000C0F0000}"/>
    <cellStyle name="Normal 2 4 2 3 3 6 3 2" xfId="14775" xr:uid="{4673DB9A-9DB8-498C-9E69-09D7EA1D5CAF}"/>
    <cellStyle name="Normal 2 4 2 3 3 6 4" xfId="10557" xr:uid="{8400DE09-9AAC-4A05-9513-673FF431B567}"/>
    <cellStyle name="Normal 2 4 2 3 3 7" xfId="2462" xr:uid="{00000000-0005-0000-0000-00000D0F0000}"/>
    <cellStyle name="Normal 2 4 2 3 3 7 2" xfId="6746" xr:uid="{00000000-0005-0000-0000-00000E0F0000}"/>
    <cellStyle name="Normal 2 4 2 3 3 7 2 2" xfId="15188" xr:uid="{C1D4B2E6-336F-488B-A350-90E6DB48BBAF}"/>
    <cellStyle name="Normal 2 4 2 3 3 7 3" xfId="10970" xr:uid="{5CE2BD56-67AF-4255-87AC-00610DB440A8}"/>
    <cellStyle name="Normal 2 4 2 3 3 8" xfId="4680" xr:uid="{00000000-0005-0000-0000-00000F0F0000}"/>
    <cellStyle name="Normal 2 4 2 3 3 8 2" xfId="13122" xr:uid="{3F6CD0B1-9C53-4300-8A23-F574CDBCE136}"/>
    <cellStyle name="Normal 2 4 2 3 3 9" xfId="8904" xr:uid="{92225040-548D-4DA5-8646-2AD8F70B850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5A4BD26F-37D0-4E1C-A875-C202A8D32DDC}"/>
    <cellStyle name="Normal 2 4 2 3 4 2 2 3" xfId="11465" xr:uid="{04D646C6-933F-4400-8B62-F293A19CF758}"/>
    <cellStyle name="Normal 2 4 2 3 4 2 3" xfId="5096" xr:uid="{00000000-0005-0000-0000-0000140F0000}"/>
    <cellStyle name="Normal 2 4 2 3 4 2 3 2" xfId="13538" xr:uid="{EE856DED-6013-41B0-978D-9DB8D4B27C02}"/>
    <cellStyle name="Normal 2 4 2 3 4 2 4" xfId="9320" xr:uid="{759BE30E-8283-4A28-96B4-51AA070C91E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36FFF9F1-5AC4-454E-ACD6-22A59852F8FD}"/>
    <cellStyle name="Normal 2 4 2 3 4 3 2 3" xfId="11878" xr:uid="{2DDDEAB5-371B-44E5-A03A-3B8BC10BBF0D}"/>
    <cellStyle name="Normal 2 4 2 3 4 3 3" xfId="5509" xr:uid="{00000000-0005-0000-0000-0000180F0000}"/>
    <cellStyle name="Normal 2 4 2 3 4 3 3 2" xfId="13951" xr:uid="{0CDD6C61-9B3C-40AD-8655-F19E6ABC18C0}"/>
    <cellStyle name="Normal 2 4 2 3 4 3 4" xfId="9733" xr:uid="{A2B19E6A-A162-4701-A4D8-5E7AF0BD0093}"/>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99EB445-CBF6-4779-B8BB-268A6196ECE8}"/>
    <cellStyle name="Normal 2 4 2 3 4 4 2 3" xfId="12291" xr:uid="{2203686C-21D0-48F0-AE5B-77F58AF05443}"/>
    <cellStyle name="Normal 2 4 2 3 4 4 3" xfId="5922" xr:uid="{00000000-0005-0000-0000-00001C0F0000}"/>
    <cellStyle name="Normal 2 4 2 3 4 4 3 2" xfId="14364" xr:uid="{AD994215-5D1F-4216-A0F8-CAA4BFDDC95F}"/>
    <cellStyle name="Normal 2 4 2 3 4 4 4" xfId="10146" xr:uid="{3EBC3329-1C9F-4C36-A5EE-1C68D043D7C3}"/>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480F67BF-7099-40B0-907F-4B895AFB64B8}"/>
    <cellStyle name="Normal 2 4 2 3 4 5 2 3" xfId="12704" xr:uid="{0F8BCCF5-5980-43B5-BBD9-CE22DDB1EE88}"/>
    <cellStyle name="Normal 2 4 2 3 4 5 3" xfId="6335" xr:uid="{00000000-0005-0000-0000-0000200F0000}"/>
    <cellStyle name="Normal 2 4 2 3 4 5 3 2" xfId="14777" xr:uid="{39A9E769-E4C0-489A-AF38-2B9DC5C1639B}"/>
    <cellStyle name="Normal 2 4 2 3 4 5 4" xfId="10559" xr:uid="{EF511E33-692C-416C-A194-D6CE7A954488}"/>
    <cellStyle name="Normal 2 4 2 3 4 6" xfId="2464" xr:uid="{00000000-0005-0000-0000-0000210F0000}"/>
    <cellStyle name="Normal 2 4 2 3 4 6 2" xfId="6748" xr:uid="{00000000-0005-0000-0000-0000220F0000}"/>
    <cellStyle name="Normal 2 4 2 3 4 6 2 2" xfId="15190" xr:uid="{37CBDBAF-546B-4F82-BFD9-982D4675F9AA}"/>
    <cellStyle name="Normal 2 4 2 3 4 6 3" xfId="10972" xr:uid="{E6687B4D-A42D-44E1-9E40-53FB1910C8C2}"/>
    <cellStyle name="Normal 2 4 2 3 4 7" xfId="4682" xr:uid="{00000000-0005-0000-0000-0000230F0000}"/>
    <cellStyle name="Normal 2 4 2 3 4 7 2" xfId="13124" xr:uid="{3039CDC5-1370-47A2-92CD-1A5C0F522B4C}"/>
    <cellStyle name="Normal 2 4 2 3 4 8" xfId="8906" xr:uid="{09DAD97D-586D-4EF5-A089-B36EAFB1388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0DDDF51A-7AD4-42B6-BE3E-6A696F05AC76}"/>
    <cellStyle name="Normal 2 4 2 3 5 2 3" xfId="11458" xr:uid="{F165BACF-D062-42B5-8120-5BA791EE2D79}"/>
    <cellStyle name="Normal 2 4 2 3 5 3" xfId="5089" xr:uid="{00000000-0005-0000-0000-0000270F0000}"/>
    <cellStyle name="Normal 2 4 2 3 5 3 2" xfId="13531" xr:uid="{ED035D0A-2571-4F13-B0C3-8A7E185CD2DB}"/>
    <cellStyle name="Normal 2 4 2 3 5 4" xfId="9313" xr:uid="{3E03B359-AEE3-4955-BB55-B252E337977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8800FAAC-6EA8-4E2F-9BEB-BBE2D6B71237}"/>
    <cellStyle name="Normal 2 4 2 3 6 2 3" xfId="11871" xr:uid="{40BDD7C2-55E7-475C-8840-1A5CFB6F69CC}"/>
    <cellStyle name="Normal 2 4 2 3 6 3" xfId="5502" xr:uid="{00000000-0005-0000-0000-00002B0F0000}"/>
    <cellStyle name="Normal 2 4 2 3 6 3 2" xfId="13944" xr:uid="{15CFDA11-CE06-48BC-B3BE-69C7937DC15E}"/>
    <cellStyle name="Normal 2 4 2 3 6 4" xfId="9726" xr:uid="{C8CFD3D5-EF3D-4CF9-B678-F6AE3B1E81D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2464ACF3-9452-4C9A-B78B-792982E3D9E5}"/>
    <cellStyle name="Normal 2 4 2 3 7 2 3" xfId="12284" xr:uid="{1CEEB3D8-6BDB-4B7A-A8FC-6BE4E1FE2653}"/>
    <cellStyle name="Normal 2 4 2 3 7 3" xfId="5915" xr:uid="{00000000-0005-0000-0000-00002F0F0000}"/>
    <cellStyle name="Normal 2 4 2 3 7 3 2" xfId="14357" xr:uid="{B772B9DD-A5EA-47CE-A43F-EED170B0CC90}"/>
    <cellStyle name="Normal 2 4 2 3 7 4" xfId="10139" xr:uid="{A8AF0279-1588-4684-8983-1D4897095263}"/>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C388E589-B5F4-4400-9F37-7FB8C310B205}"/>
    <cellStyle name="Normal 2 4 2 3 8 2 3" xfId="12697" xr:uid="{03560DE1-0118-42D2-BE98-E1A01AF16D1B}"/>
    <cellStyle name="Normal 2 4 2 3 8 3" xfId="6328" xr:uid="{00000000-0005-0000-0000-0000330F0000}"/>
    <cellStyle name="Normal 2 4 2 3 8 3 2" xfId="14770" xr:uid="{4827E1AA-F414-4CB1-89D9-D076FAF6ABDE}"/>
    <cellStyle name="Normal 2 4 2 3 8 4" xfId="10552" xr:uid="{7C5ADEFD-D329-4A7F-965E-C922196F5D07}"/>
    <cellStyle name="Normal 2 4 2 3 9" xfId="2457" xr:uid="{00000000-0005-0000-0000-0000340F0000}"/>
    <cellStyle name="Normal 2 4 2 3 9 2" xfId="6741" xr:uid="{00000000-0005-0000-0000-0000350F0000}"/>
    <cellStyle name="Normal 2 4 2 3 9 2 2" xfId="15183" xr:uid="{54A4B502-EA3E-4734-B106-6744525887E0}"/>
    <cellStyle name="Normal 2 4 2 3 9 3" xfId="10965" xr:uid="{7055326A-BD6E-4510-AE32-3901D687D406}"/>
    <cellStyle name="Normal 2 4 2 4" xfId="289" xr:uid="{00000000-0005-0000-0000-0000360F0000}"/>
    <cellStyle name="Normal 2 4 2 4 10" xfId="8907" xr:uid="{1C4A952F-D53D-40DA-8122-31B3141D68C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39CEB946-3774-4979-A885-5F359C62A7E2}"/>
    <cellStyle name="Normal 2 4 2 4 2 2 2 2 3" xfId="11468" xr:uid="{0020F925-A5B4-4F1E-AC22-A92475178C18}"/>
    <cellStyle name="Normal 2 4 2 4 2 2 2 3" xfId="5099" xr:uid="{00000000-0005-0000-0000-00003C0F0000}"/>
    <cellStyle name="Normal 2 4 2 4 2 2 2 3 2" xfId="13541" xr:uid="{33726684-8851-4A9C-A951-93F149C26037}"/>
    <cellStyle name="Normal 2 4 2 4 2 2 2 4" xfId="9323" xr:uid="{A75E1729-357E-44B7-8C0E-5B8C6F9C8738}"/>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ABC19091-CA85-4E48-8939-A2B2E1B47A9F}"/>
    <cellStyle name="Normal 2 4 2 4 2 2 3 2 3" xfId="11881" xr:uid="{4F21C690-99CE-40CA-B2C9-6EB1051BEA95}"/>
    <cellStyle name="Normal 2 4 2 4 2 2 3 3" xfId="5512" xr:uid="{00000000-0005-0000-0000-0000400F0000}"/>
    <cellStyle name="Normal 2 4 2 4 2 2 3 3 2" xfId="13954" xr:uid="{CC8D0D4A-F94E-470C-81C4-3D8273F4DEAC}"/>
    <cellStyle name="Normal 2 4 2 4 2 2 3 4" xfId="9736" xr:uid="{512C9A62-4D0C-406B-9983-63ED3438B606}"/>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0DFB41DE-C490-4E41-A48B-2993B0A29B97}"/>
    <cellStyle name="Normal 2 4 2 4 2 2 4 2 3" xfId="12294" xr:uid="{0CECEF86-7F1F-456E-8F05-A44AB30E235E}"/>
    <cellStyle name="Normal 2 4 2 4 2 2 4 3" xfId="5925" xr:uid="{00000000-0005-0000-0000-0000440F0000}"/>
    <cellStyle name="Normal 2 4 2 4 2 2 4 3 2" xfId="14367" xr:uid="{59B8A28F-DE93-4311-8629-8BB71E9F89DE}"/>
    <cellStyle name="Normal 2 4 2 4 2 2 4 4" xfId="10149" xr:uid="{01E47908-1B50-4450-BD16-BAB28A3EA8A5}"/>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97255C3E-5754-47AF-9180-D7C2621556BE}"/>
    <cellStyle name="Normal 2 4 2 4 2 2 5 2 3" xfId="12707" xr:uid="{58008576-A52E-4EF1-A020-853FBB212853}"/>
    <cellStyle name="Normal 2 4 2 4 2 2 5 3" xfId="6338" xr:uid="{00000000-0005-0000-0000-0000480F0000}"/>
    <cellStyle name="Normal 2 4 2 4 2 2 5 3 2" xfId="14780" xr:uid="{401D11B1-138C-43BF-912D-8BD9FA58AFF4}"/>
    <cellStyle name="Normal 2 4 2 4 2 2 5 4" xfId="10562" xr:uid="{ACFD3F56-21B3-4F0C-B0E0-6D38160863E9}"/>
    <cellStyle name="Normal 2 4 2 4 2 2 6" xfId="2467" xr:uid="{00000000-0005-0000-0000-0000490F0000}"/>
    <cellStyle name="Normal 2 4 2 4 2 2 6 2" xfId="6751" xr:uid="{00000000-0005-0000-0000-00004A0F0000}"/>
    <cellStyle name="Normal 2 4 2 4 2 2 6 2 2" xfId="15193" xr:uid="{204D25CB-0B72-496D-B5C9-8725E9AFCBFC}"/>
    <cellStyle name="Normal 2 4 2 4 2 2 6 3" xfId="10975" xr:uid="{408ADAC5-DC9B-452E-8CE9-6AFC91B3ACEF}"/>
    <cellStyle name="Normal 2 4 2 4 2 2 7" xfId="4685" xr:uid="{00000000-0005-0000-0000-00004B0F0000}"/>
    <cellStyle name="Normal 2 4 2 4 2 2 7 2" xfId="13127" xr:uid="{1C8E1AD2-ADB2-4C4F-A2A7-57E253EAA2F4}"/>
    <cellStyle name="Normal 2 4 2 4 2 2 8" xfId="8909" xr:uid="{AA6A6227-02C3-4F55-ACD5-D16901499AFA}"/>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69460169-EFF3-4F01-855B-42AD7381E55F}"/>
    <cellStyle name="Normal 2 4 2 4 2 3 2 3" xfId="11467" xr:uid="{775F16A7-D9D4-4D34-A389-3D077C6F5623}"/>
    <cellStyle name="Normal 2 4 2 4 2 3 3" xfId="5098" xr:uid="{00000000-0005-0000-0000-00004F0F0000}"/>
    <cellStyle name="Normal 2 4 2 4 2 3 3 2" xfId="13540" xr:uid="{015E2034-2797-4BAF-96A2-82935C09D0F7}"/>
    <cellStyle name="Normal 2 4 2 4 2 3 4" xfId="9322" xr:uid="{E2549095-1080-4F2C-B927-E139C4751FC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A7162B64-D21B-4ABD-8825-C0068507AAAD}"/>
    <cellStyle name="Normal 2 4 2 4 2 4 2 3" xfId="11880" xr:uid="{0467C1BD-47B1-4673-8425-CA64D2B647D9}"/>
    <cellStyle name="Normal 2 4 2 4 2 4 3" xfId="5511" xr:uid="{00000000-0005-0000-0000-0000530F0000}"/>
    <cellStyle name="Normal 2 4 2 4 2 4 3 2" xfId="13953" xr:uid="{96B77D6F-D420-440F-820F-EF45086CE749}"/>
    <cellStyle name="Normal 2 4 2 4 2 4 4" xfId="9735" xr:uid="{35AF4D71-FE63-4E6F-A220-6FC09BCF89E3}"/>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5C9D006B-B7E2-4FA2-9137-9D13AEF3C4E8}"/>
    <cellStyle name="Normal 2 4 2 4 2 5 2 3" xfId="12293" xr:uid="{45483779-35E9-420C-9BEB-E2CCE68464D8}"/>
    <cellStyle name="Normal 2 4 2 4 2 5 3" xfId="5924" xr:uid="{00000000-0005-0000-0000-0000570F0000}"/>
    <cellStyle name="Normal 2 4 2 4 2 5 3 2" xfId="14366" xr:uid="{97C63651-1952-4F80-8433-6F4924F9DD97}"/>
    <cellStyle name="Normal 2 4 2 4 2 5 4" xfId="10148" xr:uid="{F7FE35EF-4B9C-4096-B824-717DB984B0CC}"/>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3336C465-8588-4991-B6D3-EB73352ED506}"/>
    <cellStyle name="Normal 2 4 2 4 2 6 2 3" xfId="12706" xr:uid="{789C5083-A314-4782-9531-C2716AFF08D1}"/>
    <cellStyle name="Normal 2 4 2 4 2 6 3" xfId="6337" xr:uid="{00000000-0005-0000-0000-00005B0F0000}"/>
    <cellStyle name="Normal 2 4 2 4 2 6 3 2" xfId="14779" xr:uid="{DC85169A-744D-4BD3-944A-F861061003A4}"/>
    <cellStyle name="Normal 2 4 2 4 2 6 4" xfId="10561" xr:uid="{2A4D3A14-9751-4FBD-87F9-53A4FA313D73}"/>
    <cellStyle name="Normal 2 4 2 4 2 7" xfId="2466" xr:uid="{00000000-0005-0000-0000-00005C0F0000}"/>
    <cellStyle name="Normal 2 4 2 4 2 7 2" xfId="6750" xr:uid="{00000000-0005-0000-0000-00005D0F0000}"/>
    <cellStyle name="Normal 2 4 2 4 2 7 2 2" xfId="15192" xr:uid="{F023F6BB-1134-44D9-9612-37680E0DA93D}"/>
    <cellStyle name="Normal 2 4 2 4 2 7 3" xfId="10974" xr:uid="{0C50CF53-55BD-4112-A308-0123C3409C45}"/>
    <cellStyle name="Normal 2 4 2 4 2 8" xfId="4684" xr:uid="{00000000-0005-0000-0000-00005E0F0000}"/>
    <cellStyle name="Normal 2 4 2 4 2 8 2" xfId="13126" xr:uid="{0E14DD3A-8DF1-422F-817F-5BA61760B4C8}"/>
    <cellStyle name="Normal 2 4 2 4 2 9" xfId="8908" xr:uid="{EE12085A-EB5C-4780-8962-9CD6CF416926}"/>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50351799-AF04-4D74-AAEF-24A906CBBB43}"/>
    <cellStyle name="Normal 2 4 2 4 3 2 2 3" xfId="11469" xr:uid="{EA35580F-7FBB-481F-9B5A-EA0447DFE3A6}"/>
    <cellStyle name="Normal 2 4 2 4 3 2 3" xfId="5100" xr:uid="{00000000-0005-0000-0000-0000630F0000}"/>
    <cellStyle name="Normal 2 4 2 4 3 2 3 2" xfId="13542" xr:uid="{DB7A9480-2FCD-478F-A20A-62CBAFDD2704}"/>
    <cellStyle name="Normal 2 4 2 4 3 2 4" xfId="9324" xr:uid="{786CF23C-551A-4802-9DBA-6E5119B60005}"/>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7A51D3A-F55B-4F6D-9729-DD4E3D817F79}"/>
    <cellStyle name="Normal 2 4 2 4 3 3 2 3" xfId="11882" xr:uid="{8EB51B0C-73F0-4981-81FE-E7C5A0AF55BE}"/>
    <cellStyle name="Normal 2 4 2 4 3 3 3" xfId="5513" xr:uid="{00000000-0005-0000-0000-0000670F0000}"/>
    <cellStyle name="Normal 2 4 2 4 3 3 3 2" xfId="13955" xr:uid="{6863E9C6-B6FC-4284-84C9-64B1DD387933}"/>
    <cellStyle name="Normal 2 4 2 4 3 3 4" xfId="9737" xr:uid="{01FD6CD7-E35C-42AE-B37A-5B9E2D094807}"/>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7B3D3567-7A4D-49EF-8948-79D0FB2E3C60}"/>
    <cellStyle name="Normal 2 4 2 4 3 4 2 3" xfId="12295" xr:uid="{B19026E7-09D1-44C7-8A74-219D21A55D15}"/>
    <cellStyle name="Normal 2 4 2 4 3 4 3" xfId="5926" xr:uid="{00000000-0005-0000-0000-00006B0F0000}"/>
    <cellStyle name="Normal 2 4 2 4 3 4 3 2" xfId="14368" xr:uid="{3CE2CEB1-B502-46EF-A473-468D5DBC30C7}"/>
    <cellStyle name="Normal 2 4 2 4 3 4 4" xfId="10150" xr:uid="{7790AD60-EB31-4D3E-BC26-082FAEFF2B11}"/>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06F5010B-8334-4709-9FB1-D5DAC0986A9D}"/>
    <cellStyle name="Normal 2 4 2 4 3 5 2 3" xfId="12708" xr:uid="{30F7CA89-9458-4443-A98B-48A1EDC3E5FB}"/>
    <cellStyle name="Normal 2 4 2 4 3 5 3" xfId="6339" xr:uid="{00000000-0005-0000-0000-00006F0F0000}"/>
    <cellStyle name="Normal 2 4 2 4 3 5 3 2" xfId="14781" xr:uid="{A1EA4ADF-BE92-4E9F-97A3-C1EC66EB4189}"/>
    <cellStyle name="Normal 2 4 2 4 3 5 4" xfId="10563" xr:uid="{475949A7-C387-497C-8A23-9C637D5B204C}"/>
    <cellStyle name="Normal 2 4 2 4 3 6" xfId="2468" xr:uid="{00000000-0005-0000-0000-0000700F0000}"/>
    <cellStyle name="Normal 2 4 2 4 3 6 2" xfId="6752" xr:uid="{00000000-0005-0000-0000-0000710F0000}"/>
    <cellStyle name="Normal 2 4 2 4 3 6 2 2" xfId="15194" xr:uid="{BE1F9868-F4D4-4AA0-BE0F-45C4333948EF}"/>
    <cellStyle name="Normal 2 4 2 4 3 6 3" xfId="10976" xr:uid="{49E15A18-CB7F-402C-A17F-A0B3C0BB50C4}"/>
    <cellStyle name="Normal 2 4 2 4 3 7" xfId="4686" xr:uid="{00000000-0005-0000-0000-0000720F0000}"/>
    <cellStyle name="Normal 2 4 2 4 3 7 2" xfId="13128" xr:uid="{1BB31514-496C-48A5-9691-6BB2E983DB56}"/>
    <cellStyle name="Normal 2 4 2 4 3 8" xfId="8910" xr:uid="{6F97ED0D-EB60-4970-AC90-683008808289}"/>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C29EB61A-E580-4429-837B-40916D32D092}"/>
    <cellStyle name="Normal 2 4 2 4 4 2 3" xfId="11466" xr:uid="{D9D087FB-B9AE-41B2-9BE0-F3F0BB4D1743}"/>
    <cellStyle name="Normal 2 4 2 4 4 3" xfId="5097" xr:uid="{00000000-0005-0000-0000-0000760F0000}"/>
    <cellStyle name="Normal 2 4 2 4 4 3 2" xfId="13539" xr:uid="{EBBF82D6-0254-421A-8DD0-FBB71AA84080}"/>
    <cellStyle name="Normal 2 4 2 4 4 4" xfId="9321" xr:uid="{310F8C5D-C54E-4C64-AA5B-E95BB5DDDDE2}"/>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756154A1-1DAA-4447-8A52-2B78325E2C7F}"/>
    <cellStyle name="Normal 2 4 2 4 5 2 3" xfId="11879" xr:uid="{1CA17DAB-C3C3-42B7-9D00-BC57E1CB2D29}"/>
    <cellStyle name="Normal 2 4 2 4 5 3" xfId="5510" xr:uid="{00000000-0005-0000-0000-00007A0F0000}"/>
    <cellStyle name="Normal 2 4 2 4 5 3 2" xfId="13952" xr:uid="{9E7959D7-0FB4-4639-8126-9992AA9D93CB}"/>
    <cellStyle name="Normal 2 4 2 4 5 4" xfId="9734" xr:uid="{65CDBE2F-567E-41E7-81C5-E9CCB6786FA7}"/>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6626BD4A-CF4A-4EC2-8544-B41ED20F3777}"/>
    <cellStyle name="Normal 2 4 2 4 6 2 3" xfId="12292" xr:uid="{91937728-40AE-4559-8B08-0C191B5C0D3E}"/>
    <cellStyle name="Normal 2 4 2 4 6 3" xfId="5923" xr:uid="{00000000-0005-0000-0000-00007E0F0000}"/>
    <cellStyle name="Normal 2 4 2 4 6 3 2" xfId="14365" xr:uid="{FDC819CC-3A11-4B15-92E7-EDBF1B9E8F68}"/>
    <cellStyle name="Normal 2 4 2 4 6 4" xfId="10147" xr:uid="{347B74FA-CA81-41BF-933A-0E8DAF3D3351}"/>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A05F82D2-B9AC-4138-B466-05A22BD3DF67}"/>
    <cellStyle name="Normal 2 4 2 4 7 2 3" xfId="12705" xr:uid="{65CCFBCA-AB69-4B4B-8440-835EF4BDD3D6}"/>
    <cellStyle name="Normal 2 4 2 4 7 3" xfId="6336" xr:uid="{00000000-0005-0000-0000-0000820F0000}"/>
    <cellStyle name="Normal 2 4 2 4 7 3 2" xfId="14778" xr:uid="{7FB402FE-492C-4844-A5E1-407239F623FF}"/>
    <cellStyle name="Normal 2 4 2 4 7 4" xfId="10560" xr:uid="{BFAA74AB-AC33-45B9-89BB-6CFF34486F68}"/>
    <cellStyle name="Normal 2 4 2 4 8" xfId="2465" xr:uid="{00000000-0005-0000-0000-0000830F0000}"/>
    <cellStyle name="Normal 2 4 2 4 8 2" xfId="6749" xr:uid="{00000000-0005-0000-0000-0000840F0000}"/>
    <cellStyle name="Normal 2 4 2 4 8 2 2" xfId="15191" xr:uid="{41334AF3-BBC6-4504-B32C-9B8AE00BA0D3}"/>
    <cellStyle name="Normal 2 4 2 4 8 3" xfId="10973" xr:uid="{9806BF7E-5DB5-43FF-B621-C335A823359D}"/>
    <cellStyle name="Normal 2 4 2 4 9" xfId="4683" xr:uid="{00000000-0005-0000-0000-0000850F0000}"/>
    <cellStyle name="Normal 2 4 2 4 9 2" xfId="13125" xr:uid="{3A96DEF4-2308-4153-BE87-01DFD3B463E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CA8A9756-3475-4ECF-9F29-E248753607B2}"/>
    <cellStyle name="Normal 2 4 2 5 2 2 2 3" xfId="11471" xr:uid="{782EF8C9-F947-44B9-A557-5A14C89FD3B6}"/>
    <cellStyle name="Normal 2 4 2 5 2 2 3" xfId="5102" xr:uid="{00000000-0005-0000-0000-00008B0F0000}"/>
    <cellStyle name="Normal 2 4 2 5 2 2 3 2" xfId="13544" xr:uid="{6B704F64-40F6-463D-BC0B-221C46FA79D5}"/>
    <cellStyle name="Normal 2 4 2 5 2 2 4" xfId="9326" xr:uid="{5CD0F25D-B02C-4C77-9CE0-1F2422976B19}"/>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A88DA740-6784-4F7E-B013-7A8C0E684579}"/>
    <cellStyle name="Normal 2 4 2 5 2 3 2 3" xfId="11884" xr:uid="{84CAA3E4-9F01-4D86-852C-4F87835E6039}"/>
    <cellStyle name="Normal 2 4 2 5 2 3 3" xfId="5515" xr:uid="{00000000-0005-0000-0000-00008F0F0000}"/>
    <cellStyle name="Normal 2 4 2 5 2 3 3 2" xfId="13957" xr:uid="{D5D782E2-E0E0-46EC-95F8-D72909899830}"/>
    <cellStyle name="Normal 2 4 2 5 2 3 4" xfId="9739" xr:uid="{0B9D299A-1A02-45B1-B821-5961CB1A2BBC}"/>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0CAA05B5-33E0-4803-B933-1BEEA3D39733}"/>
    <cellStyle name="Normal 2 4 2 5 2 4 2 3" xfId="12297" xr:uid="{1AC0F1CB-4E81-499B-90EE-0567A2BC3225}"/>
    <cellStyle name="Normal 2 4 2 5 2 4 3" xfId="5928" xr:uid="{00000000-0005-0000-0000-0000930F0000}"/>
    <cellStyle name="Normal 2 4 2 5 2 4 3 2" xfId="14370" xr:uid="{19CC56AB-9E7E-4D69-B36D-F6FA52F99210}"/>
    <cellStyle name="Normal 2 4 2 5 2 4 4" xfId="10152" xr:uid="{E754A3EE-BBFA-4127-9970-093DC1DA9B45}"/>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4CF96BE2-6822-42DE-A83D-5FA8A253BA5E}"/>
    <cellStyle name="Normal 2 4 2 5 2 5 2 3" xfId="12710" xr:uid="{EC4C0A68-781C-4D66-B8C8-F5399D6C85BB}"/>
    <cellStyle name="Normal 2 4 2 5 2 5 3" xfId="6341" xr:uid="{00000000-0005-0000-0000-0000970F0000}"/>
    <cellStyle name="Normal 2 4 2 5 2 5 3 2" xfId="14783" xr:uid="{789BF860-9CBA-4E0C-B1DB-604AB7F44F91}"/>
    <cellStyle name="Normal 2 4 2 5 2 5 4" xfId="10565" xr:uid="{734A2478-6A69-4720-9E10-F2E094C5CF83}"/>
    <cellStyle name="Normal 2 4 2 5 2 6" xfId="2470" xr:uid="{00000000-0005-0000-0000-0000980F0000}"/>
    <cellStyle name="Normal 2 4 2 5 2 6 2" xfId="6754" xr:uid="{00000000-0005-0000-0000-0000990F0000}"/>
    <cellStyle name="Normal 2 4 2 5 2 6 2 2" xfId="15196" xr:uid="{2F55E0F8-6E72-44B0-AEFE-5F1DF652A464}"/>
    <cellStyle name="Normal 2 4 2 5 2 6 3" xfId="10978" xr:uid="{0F234FB1-B740-4B3B-9997-AF487CABF1B6}"/>
    <cellStyle name="Normal 2 4 2 5 2 7" xfId="4688" xr:uid="{00000000-0005-0000-0000-00009A0F0000}"/>
    <cellStyle name="Normal 2 4 2 5 2 7 2" xfId="13130" xr:uid="{EC296E8D-9DB5-43FA-B9A9-BBDD677AFC25}"/>
    <cellStyle name="Normal 2 4 2 5 2 8" xfId="8912" xr:uid="{58C7588E-ABBB-4267-AAB7-9938F27F5048}"/>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EB79278D-3AB3-4D94-B4E9-B4599BE765AD}"/>
    <cellStyle name="Normal 2 4 2 5 3 2 3" xfId="11470" xr:uid="{8DD9FF72-C1FA-4E5D-ACAC-33851948C508}"/>
    <cellStyle name="Normal 2 4 2 5 3 3" xfId="5101" xr:uid="{00000000-0005-0000-0000-00009E0F0000}"/>
    <cellStyle name="Normal 2 4 2 5 3 3 2" xfId="13543" xr:uid="{03D1818A-E4F6-43A1-B618-BEC66CE418C4}"/>
    <cellStyle name="Normal 2 4 2 5 3 4" xfId="9325" xr:uid="{352E3349-D4B6-4CFC-A91A-CB4EC40D796A}"/>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9C800B0B-34DB-480B-B7A1-8BCC6A5D8899}"/>
    <cellStyle name="Normal 2 4 2 5 4 2 3" xfId="11883" xr:uid="{A24D555A-2C47-432A-884F-6F66C4D54D0B}"/>
    <cellStyle name="Normal 2 4 2 5 4 3" xfId="5514" xr:uid="{00000000-0005-0000-0000-0000A20F0000}"/>
    <cellStyle name="Normal 2 4 2 5 4 3 2" xfId="13956" xr:uid="{4FE3918D-EF4E-4F9B-ABBF-CD4C9CFA3585}"/>
    <cellStyle name="Normal 2 4 2 5 4 4" xfId="9738" xr:uid="{D398A792-F480-4AF1-81B1-523283A69A16}"/>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85C6653F-F4E3-456A-80E1-CE8CE0413A78}"/>
    <cellStyle name="Normal 2 4 2 5 5 2 3" xfId="12296" xr:uid="{CCE21FF1-226C-4152-B380-13CF6290B2FD}"/>
    <cellStyle name="Normal 2 4 2 5 5 3" xfId="5927" xr:uid="{00000000-0005-0000-0000-0000A60F0000}"/>
    <cellStyle name="Normal 2 4 2 5 5 3 2" xfId="14369" xr:uid="{F5682080-F30A-46E0-978D-233AE0ABBAFA}"/>
    <cellStyle name="Normal 2 4 2 5 5 4" xfId="10151" xr:uid="{A1F18460-4BCC-4C35-BE7F-F8E8A4B44C9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28C4473B-324A-4E8E-8C1F-5679841484A3}"/>
    <cellStyle name="Normal 2 4 2 5 6 2 3" xfId="12709" xr:uid="{A1517B8E-5DD1-4906-8099-BA73CB679CDC}"/>
    <cellStyle name="Normal 2 4 2 5 6 3" xfId="6340" xr:uid="{00000000-0005-0000-0000-0000AA0F0000}"/>
    <cellStyle name="Normal 2 4 2 5 6 3 2" xfId="14782" xr:uid="{25B88254-94F6-40FA-8E81-DF0999A8AB50}"/>
    <cellStyle name="Normal 2 4 2 5 6 4" xfId="10564" xr:uid="{1A565E85-C50D-48D1-BA57-054EE6341797}"/>
    <cellStyle name="Normal 2 4 2 5 7" xfId="2469" xr:uid="{00000000-0005-0000-0000-0000AB0F0000}"/>
    <cellStyle name="Normal 2 4 2 5 7 2" xfId="6753" xr:uid="{00000000-0005-0000-0000-0000AC0F0000}"/>
    <cellStyle name="Normal 2 4 2 5 7 2 2" xfId="15195" xr:uid="{8A62033D-F2D2-4B79-96DF-0326B90DED04}"/>
    <cellStyle name="Normal 2 4 2 5 7 3" xfId="10977" xr:uid="{ACC71438-3E63-4CD7-9233-7429249F72C4}"/>
    <cellStyle name="Normal 2 4 2 5 8" xfId="4687" xr:uid="{00000000-0005-0000-0000-0000AD0F0000}"/>
    <cellStyle name="Normal 2 4 2 5 8 2" xfId="13129" xr:uid="{7947F9E1-D543-4737-8B96-C5BE62293600}"/>
    <cellStyle name="Normal 2 4 2 5 9" xfId="8911" xr:uid="{71B48532-29C0-4EC4-A530-42CD7FFE9D8D}"/>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508E4D5C-49A1-4C56-BB05-9AB413E6F237}"/>
    <cellStyle name="Normal 2 4 2 6 2 2 3" xfId="11472" xr:uid="{C907E738-C2E9-41CD-8F6D-CDF95906D7C0}"/>
    <cellStyle name="Normal 2 4 2 6 2 3" xfId="5103" xr:uid="{00000000-0005-0000-0000-0000B20F0000}"/>
    <cellStyle name="Normal 2 4 2 6 2 3 2" xfId="13545" xr:uid="{7BA70830-0188-4072-A795-1FB7D8E7611C}"/>
    <cellStyle name="Normal 2 4 2 6 2 4" xfId="9327" xr:uid="{CB62A0BE-356B-474D-A257-B880F1CFC6F4}"/>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80F28FD7-DE9D-404A-B889-600A887AB707}"/>
    <cellStyle name="Normal 2 4 2 6 3 2 3" xfId="11885" xr:uid="{138D8470-6E66-4B4F-9F30-7B6FE9DC390E}"/>
    <cellStyle name="Normal 2 4 2 6 3 3" xfId="5516" xr:uid="{00000000-0005-0000-0000-0000B60F0000}"/>
    <cellStyle name="Normal 2 4 2 6 3 3 2" xfId="13958" xr:uid="{763A779C-DAC0-4C2E-B314-770AA99FC67E}"/>
    <cellStyle name="Normal 2 4 2 6 3 4" xfId="9740" xr:uid="{5F1E8012-0210-4B1B-8D14-BE8E097C44F5}"/>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9800AC16-F032-48CE-A1FB-21A92F7DE1C9}"/>
    <cellStyle name="Normal 2 4 2 6 4 2 3" xfId="12298" xr:uid="{AD57040F-716E-4253-8735-41102A7633C1}"/>
    <cellStyle name="Normal 2 4 2 6 4 3" xfId="5929" xr:uid="{00000000-0005-0000-0000-0000BA0F0000}"/>
    <cellStyle name="Normal 2 4 2 6 4 3 2" xfId="14371" xr:uid="{4BAFDE05-0FE8-4898-BE77-4689E2154DAE}"/>
    <cellStyle name="Normal 2 4 2 6 4 4" xfId="10153" xr:uid="{FBAB6E34-31EC-41C2-9215-759B774B3B9C}"/>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3103F57F-8E5E-4B25-9FDD-22F4F48ACA99}"/>
    <cellStyle name="Normal 2 4 2 6 5 2 3" xfId="12711" xr:uid="{F67D1AC0-620E-4825-AD5F-B0BD746B22F7}"/>
    <cellStyle name="Normal 2 4 2 6 5 3" xfId="6342" xr:uid="{00000000-0005-0000-0000-0000BE0F0000}"/>
    <cellStyle name="Normal 2 4 2 6 5 3 2" xfId="14784" xr:uid="{905B803B-732C-4EC5-86E6-72CA4A9D6C60}"/>
    <cellStyle name="Normal 2 4 2 6 5 4" xfId="10566" xr:uid="{CC85DDE3-7B5D-4063-9A77-EB7E9F14420C}"/>
    <cellStyle name="Normal 2 4 2 6 6" xfId="2471" xr:uid="{00000000-0005-0000-0000-0000BF0F0000}"/>
    <cellStyle name="Normal 2 4 2 6 6 2" xfId="6755" xr:uid="{00000000-0005-0000-0000-0000C00F0000}"/>
    <cellStyle name="Normal 2 4 2 6 6 2 2" xfId="15197" xr:uid="{A1E19576-F098-4ADB-AE26-67A0C2EFBA97}"/>
    <cellStyle name="Normal 2 4 2 6 6 3" xfId="10979" xr:uid="{50A68AA3-9C0D-42BC-9474-D43A2151E27F}"/>
    <cellStyle name="Normal 2 4 2 6 7" xfId="4689" xr:uid="{00000000-0005-0000-0000-0000C10F0000}"/>
    <cellStyle name="Normal 2 4 2 6 7 2" xfId="13131" xr:uid="{42FE7428-6C7D-4495-99C3-6C30C39145F8}"/>
    <cellStyle name="Normal 2 4 2 6 8" xfId="8913" xr:uid="{47B43630-A787-40B7-BE8C-CB88B22C4835}"/>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3CA94EB-73CD-4F3D-A51F-D5E1DC493EFD}"/>
    <cellStyle name="Normal 2 4 2 7 2 3" xfId="11457" xr:uid="{60FF47E8-CFFE-46AF-AD2F-9FB890E777C1}"/>
    <cellStyle name="Normal 2 4 2 7 3" xfId="5088" xr:uid="{00000000-0005-0000-0000-0000C50F0000}"/>
    <cellStyle name="Normal 2 4 2 7 3 2" xfId="13530" xr:uid="{00A1502D-B156-4254-8320-F7B1A4A020A9}"/>
    <cellStyle name="Normal 2 4 2 7 4" xfId="9312" xr:uid="{0AACD418-92F8-4B69-B931-B9309A6A2139}"/>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84A0477F-4F18-4BB2-87B1-C1713BA7A14E}"/>
    <cellStyle name="Normal 2 4 2 8 2 3" xfId="11870" xr:uid="{3CBDEE99-BD3E-4C97-ADED-23DA681BF075}"/>
    <cellStyle name="Normal 2 4 2 8 3" xfId="5501" xr:uid="{00000000-0005-0000-0000-0000C90F0000}"/>
    <cellStyle name="Normal 2 4 2 8 3 2" xfId="13943" xr:uid="{477A6F8D-96EA-47F6-99C5-F1A289B7798E}"/>
    <cellStyle name="Normal 2 4 2 8 4" xfId="9725" xr:uid="{310E79F9-0E00-4726-8CC9-970E15DC83C5}"/>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0E15DD83-7D5D-4417-A2A0-A58D25BB6880}"/>
    <cellStyle name="Normal 2 4 2 9 2 3" xfId="12283" xr:uid="{B17144FB-C0CE-4C2C-8CFC-BE4FD510BBEC}"/>
    <cellStyle name="Normal 2 4 2 9 3" xfId="5914" xr:uid="{00000000-0005-0000-0000-0000CD0F0000}"/>
    <cellStyle name="Normal 2 4 2 9 3 2" xfId="14356" xr:uid="{7144DD5E-5803-414A-8843-8ECBB5E2F00F}"/>
    <cellStyle name="Normal 2 4 2 9 4" xfId="10138" xr:uid="{603FC5F6-7B8B-45FD-9377-ABF3D3E20155}"/>
    <cellStyle name="Normal 2 4 3" xfId="296" xr:uid="{00000000-0005-0000-0000-0000CE0F0000}"/>
    <cellStyle name="Normal 2 4 3 10" xfId="8914" xr:uid="{EE000A45-EED7-49CE-8200-4A6BC4A82C80}"/>
    <cellStyle name="Normal 2 4 3 2" xfId="297" xr:uid="{00000000-0005-0000-0000-0000CF0F0000}"/>
    <cellStyle name="Normal 2 4 3 3" xfId="298" xr:uid="{00000000-0005-0000-0000-0000D00F0000}"/>
    <cellStyle name="Normal 2 4 3 3 10" xfId="8915" xr:uid="{297ACB06-8056-41D6-A78D-E3429338F72C}"/>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8E5FD1A-4A60-4183-B528-83316D2B9615}"/>
    <cellStyle name="Normal 2 4 3 3 2 2 2 2 3" xfId="11476" xr:uid="{84D6575A-2E67-4478-8DBE-8CBFDF352E10}"/>
    <cellStyle name="Normal 2 4 3 3 2 2 2 3" xfId="5107" xr:uid="{00000000-0005-0000-0000-0000D60F0000}"/>
    <cellStyle name="Normal 2 4 3 3 2 2 2 3 2" xfId="13549" xr:uid="{3174C036-94C6-49B6-A12D-A227CE695521}"/>
    <cellStyle name="Normal 2 4 3 3 2 2 2 4" xfId="9331" xr:uid="{9AA71189-8DC3-420E-BD5C-761F05B603AE}"/>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C3258299-E696-4261-BD37-16235BFD7375}"/>
    <cellStyle name="Normal 2 4 3 3 2 2 3 2 3" xfId="11889" xr:uid="{6D668D0E-9FF5-4958-9630-3D6AC5691496}"/>
    <cellStyle name="Normal 2 4 3 3 2 2 3 3" xfId="5520" xr:uid="{00000000-0005-0000-0000-0000DA0F0000}"/>
    <cellStyle name="Normal 2 4 3 3 2 2 3 3 2" xfId="13962" xr:uid="{38CAEA4A-7BA2-4D0C-AFDB-C78D77028B40}"/>
    <cellStyle name="Normal 2 4 3 3 2 2 3 4" xfId="9744" xr:uid="{E9967E51-4A34-448C-88C1-406BF66DA54B}"/>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1B1CA549-5571-4719-B247-975E4336E2EC}"/>
    <cellStyle name="Normal 2 4 3 3 2 2 4 2 3" xfId="12302" xr:uid="{1CD6F479-06BE-43A4-B9B8-C10152833000}"/>
    <cellStyle name="Normal 2 4 3 3 2 2 4 3" xfId="5933" xr:uid="{00000000-0005-0000-0000-0000DE0F0000}"/>
    <cellStyle name="Normal 2 4 3 3 2 2 4 3 2" xfId="14375" xr:uid="{894FD9EC-DCBB-455D-87CB-27E5B0D110F2}"/>
    <cellStyle name="Normal 2 4 3 3 2 2 4 4" xfId="10157" xr:uid="{CA09AEE9-85AA-4AF6-83CF-3F37C693872E}"/>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90A963BB-5DE5-4EE1-A5F5-143D3EDF79B0}"/>
    <cellStyle name="Normal 2 4 3 3 2 2 5 2 3" xfId="12715" xr:uid="{CAF27955-74D3-42A9-9614-EFBBCEDBD5E4}"/>
    <cellStyle name="Normal 2 4 3 3 2 2 5 3" xfId="6346" xr:uid="{00000000-0005-0000-0000-0000E20F0000}"/>
    <cellStyle name="Normal 2 4 3 3 2 2 5 3 2" xfId="14788" xr:uid="{2D036FF9-D61E-4497-B014-1D0DD165A42D}"/>
    <cellStyle name="Normal 2 4 3 3 2 2 5 4" xfId="10570" xr:uid="{B218CFF5-D8E9-461E-8C54-D4D4C35D281E}"/>
    <cellStyle name="Normal 2 4 3 3 2 2 6" xfId="2475" xr:uid="{00000000-0005-0000-0000-0000E30F0000}"/>
    <cellStyle name="Normal 2 4 3 3 2 2 6 2" xfId="6759" xr:uid="{00000000-0005-0000-0000-0000E40F0000}"/>
    <cellStyle name="Normal 2 4 3 3 2 2 6 2 2" xfId="15201" xr:uid="{4804DCAE-0532-4E4D-8353-131C89292C68}"/>
    <cellStyle name="Normal 2 4 3 3 2 2 6 3" xfId="10983" xr:uid="{54BE3835-3B8B-4912-9C8A-D077FF028274}"/>
    <cellStyle name="Normal 2 4 3 3 2 2 7" xfId="4693" xr:uid="{00000000-0005-0000-0000-0000E50F0000}"/>
    <cellStyle name="Normal 2 4 3 3 2 2 7 2" xfId="13135" xr:uid="{5FD88E59-65DD-49CD-B0B9-70CDF779B4D6}"/>
    <cellStyle name="Normal 2 4 3 3 2 2 8" xfId="8917" xr:uid="{283DE0A5-20F0-42EE-BC67-24BEDA5FA194}"/>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FAB44EE2-B338-408C-8E81-E6B1ADD560C5}"/>
    <cellStyle name="Normal 2 4 3 3 2 3 2 3" xfId="11475" xr:uid="{D37F0DD8-8ED7-4177-AEDD-1E7A9578F51C}"/>
    <cellStyle name="Normal 2 4 3 3 2 3 3" xfId="5106" xr:uid="{00000000-0005-0000-0000-0000E90F0000}"/>
    <cellStyle name="Normal 2 4 3 3 2 3 3 2" xfId="13548" xr:uid="{FAB783CA-DC3D-437B-9FFB-F160420DF9B3}"/>
    <cellStyle name="Normal 2 4 3 3 2 3 4" xfId="9330" xr:uid="{3C7456A1-B11F-4B35-B9FE-44233834103B}"/>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17F45B3F-7EA4-44D0-A48A-D0DD81B9B141}"/>
    <cellStyle name="Normal 2 4 3 3 2 4 2 3" xfId="11888" xr:uid="{226D29EB-F97F-493E-9901-D00CE0D3D2C6}"/>
    <cellStyle name="Normal 2 4 3 3 2 4 3" xfId="5519" xr:uid="{00000000-0005-0000-0000-0000ED0F0000}"/>
    <cellStyle name="Normal 2 4 3 3 2 4 3 2" xfId="13961" xr:uid="{2092AB62-8507-4AB7-B1DC-F3AEFE90CD2C}"/>
    <cellStyle name="Normal 2 4 3 3 2 4 4" xfId="9743" xr:uid="{AD598B1B-482C-4B34-85FF-79F671FCBEB8}"/>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B13F3D54-0EF6-45BD-8A5C-04B7C2E4AA3C}"/>
    <cellStyle name="Normal 2 4 3 3 2 5 2 3" xfId="12301" xr:uid="{7766D4E3-AD26-4D26-9645-1E252A43AAD7}"/>
    <cellStyle name="Normal 2 4 3 3 2 5 3" xfId="5932" xr:uid="{00000000-0005-0000-0000-0000F10F0000}"/>
    <cellStyle name="Normal 2 4 3 3 2 5 3 2" xfId="14374" xr:uid="{7FD631CC-37A0-4E47-8B78-F0F830F4672A}"/>
    <cellStyle name="Normal 2 4 3 3 2 5 4" xfId="10156" xr:uid="{19AD2BD3-E58E-49E7-BAFF-71C0D901005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0C306FC6-0B6D-422C-92F5-8C476AE2996D}"/>
    <cellStyle name="Normal 2 4 3 3 2 6 2 3" xfId="12714" xr:uid="{2373DAF3-0E8B-4A61-8B4A-5DFF415FC8A1}"/>
    <cellStyle name="Normal 2 4 3 3 2 6 3" xfId="6345" xr:uid="{00000000-0005-0000-0000-0000F50F0000}"/>
    <cellStyle name="Normal 2 4 3 3 2 6 3 2" xfId="14787" xr:uid="{263CBFE5-860F-4069-81DC-4CC544F54C73}"/>
    <cellStyle name="Normal 2 4 3 3 2 6 4" xfId="10569" xr:uid="{29B29397-A12D-4272-8551-82E4ECF3AFC4}"/>
    <cellStyle name="Normal 2 4 3 3 2 7" xfId="2474" xr:uid="{00000000-0005-0000-0000-0000F60F0000}"/>
    <cellStyle name="Normal 2 4 3 3 2 7 2" xfId="6758" xr:uid="{00000000-0005-0000-0000-0000F70F0000}"/>
    <cellStyle name="Normal 2 4 3 3 2 7 2 2" xfId="15200" xr:uid="{E4D68709-E827-4888-81EE-F9EC2FBFCFB6}"/>
    <cellStyle name="Normal 2 4 3 3 2 7 3" xfId="10982" xr:uid="{DF6222D6-E8C5-40D3-90C0-112525C02152}"/>
    <cellStyle name="Normal 2 4 3 3 2 8" xfId="4692" xr:uid="{00000000-0005-0000-0000-0000F80F0000}"/>
    <cellStyle name="Normal 2 4 3 3 2 8 2" xfId="13134" xr:uid="{B4E79E85-A244-4639-B806-38DFD09DA5F6}"/>
    <cellStyle name="Normal 2 4 3 3 2 9" xfId="8916" xr:uid="{5062C295-145D-44C0-BE53-0F6BBEFEAB0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AD40A048-26D5-4C98-A67B-DF1F81A4541A}"/>
    <cellStyle name="Normal 2 4 3 3 3 2 2 3" xfId="11477" xr:uid="{F7818B79-59B5-4901-B16F-A75B7BA02068}"/>
    <cellStyle name="Normal 2 4 3 3 3 2 3" xfId="5108" xr:uid="{00000000-0005-0000-0000-0000FD0F0000}"/>
    <cellStyle name="Normal 2 4 3 3 3 2 3 2" xfId="13550" xr:uid="{BCDAEE64-91ED-4E6B-9599-FD536C634761}"/>
    <cellStyle name="Normal 2 4 3 3 3 2 4" xfId="9332" xr:uid="{4AD65C4A-CEAA-41EE-8BFD-967EE4F62C8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27D1026B-8B70-41CE-BD7B-23C69211E274}"/>
    <cellStyle name="Normal 2 4 3 3 3 3 2 3" xfId="11890" xr:uid="{5019163C-F29D-42ED-8D63-C740F83C62C6}"/>
    <cellStyle name="Normal 2 4 3 3 3 3 3" xfId="5521" xr:uid="{00000000-0005-0000-0000-000001100000}"/>
    <cellStyle name="Normal 2 4 3 3 3 3 3 2" xfId="13963" xr:uid="{0951CD30-8075-4A6B-8966-9E4845AAE016}"/>
    <cellStyle name="Normal 2 4 3 3 3 3 4" xfId="9745" xr:uid="{03240D94-7C32-429E-9BEF-F43A60671245}"/>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30C4692-C8AE-4263-803E-06580DD42A04}"/>
    <cellStyle name="Normal 2 4 3 3 3 4 2 3" xfId="12303" xr:uid="{18AF7725-F223-48EC-AA81-2F4771161CF9}"/>
    <cellStyle name="Normal 2 4 3 3 3 4 3" xfId="5934" xr:uid="{00000000-0005-0000-0000-000005100000}"/>
    <cellStyle name="Normal 2 4 3 3 3 4 3 2" xfId="14376" xr:uid="{CE63049D-BA71-468C-A899-E76A9A624C7B}"/>
    <cellStyle name="Normal 2 4 3 3 3 4 4" xfId="10158" xr:uid="{FE44AF5E-DC5C-47A6-97A9-B1ED20D853B8}"/>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DCE9E953-E572-41CB-BF62-A36875433DF7}"/>
    <cellStyle name="Normal 2 4 3 3 3 5 2 3" xfId="12716" xr:uid="{968592FE-E0CB-4BA2-AF73-FD5BC3D7B12B}"/>
    <cellStyle name="Normal 2 4 3 3 3 5 3" xfId="6347" xr:uid="{00000000-0005-0000-0000-000009100000}"/>
    <cellStyle name="Normal 2 4 3 3 3 5 3 2" xfId="14789" xr:uid="{38715718-9DF0-4963-8D53-193C16CD7D58}"/>
    <cellStyle name="Normal 2 4 3 3 3 5 4" xfId="10571" xr:uid="{4508C7FA-9BBA-437E-B1ED-18DA179BBC9F}"/>
    <cellStyle name="Normal 2 4 3 3 3 6" xfId="2476" xr:uid="{00000000-0005-0000-0000-00000A100000}"/>
    <cellStyle name="Normal 2 4 3 3 3 6 2" xfId="6760" xr:uid="{00000000-0005-0000-0000-00000B100000}"/>
    <cellStyle name="Normal 2 4 3 3 3 6 2 2" xfId="15202" xr:uid="{E1A9401D-2931-481E-8246-2ADE042272AF}"/>
    <cellStyle name="Normal 2 4 3 3 3 6 3" xfId="10984" xr:uid="{515A7CEA-76E0-4880-B51D-197CFAA1DE36}"/>
    <cellStyle name="Normal 2 4 3 3 3 7" xfId="4694" xr:uid="{00000000-0005-0000-0000-00000C100000}"/>
    <cellStyle name="Normal 2 4 3 3 3 7 2" xfId="13136" xr:uid="{05C9B7F4-C74F-4F36-BECF-F31B1BE93695}"/>
    <cellStyle name="Normal 2 4 3 3 3 8" xfId="8918" xr:uid="{0DEB6315-A9D9-49D2-B1F7-946B0B9115F7}"/>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1B6018D8-7587-485B-8649-1B7CA5E0B237}"/>
    <cellStyle name="Normal 2 4 3 3 4 2 3" xfId="11474" xr:uid="{6DC1E590-B4AC-4300-B46E-8B5A76D52426}"/>
    <cellStyle name="Normal 2 4 3 3 4 3" xfId="5105" xr:uid="{00000000-0005-0000-0000-000010100000}"/>
    <cellStyle name="Normal 2 4 3 3 4 3 2" xfId="13547" xr:uid="{3C872C34-8769-4BC4-90F4-B364728DB436}"/>
    <cellStyle name="Normal 2 4 3 3 4 4" xfId="9329" xr:uid="{C2677418-417C-49AD-8C08-5821D21FFD0B}"/>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B0FD3C7-3AEE-402B-A3EB-B7F357B5778E}"/>
    <cellStyle name="Normal 2 4 3 3 5 2 3" xfId="11887" xr:uid="{A79529A3-B13D-4087-9297-CB4C8F75778C}"/>
    <cellStyle name="Normal 2 4 3 3 5 3" xfId="5518" xr:uid="{00000000-0005-0000-0000-000014100000}"/>
    <cellStyle name="Normal 2 4 3 3 5 3 2" xfId="13960" xr:uid="{7BE21FE1-EBF8-4551-BEED-69E44FA01A07}"/>
    <cellStyle name="Normal 2 4 3 3 5 4" xfId="9742" xr:uid="{155AB4FE-0D56-44A0-8279-5FD391079BB8}"/>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AAA317B6-CD31-4C15-8829-046195FD2BF2}"/>
    <cellStyle name="Normal 2 4 3 3 6 2 3" xfId="12300" xr:uid="{37D96429-EEDC-4972-8724-85D23D2A060E}"/>
    <cellStyle name="Normal 2 4 3 3 6 3" xfId="5931" xr:uid="{00000000-0005-0000-0000-000018100000}"/>
    <cellStyle name="Normal 2 4 3 3 6 3 2" xfId="14373" xr:uid="{062E7385-A6C0-46C7-8558-BCA6E8C27396}"/>
    <cellStyle name="Normal 2 4 3 3 6 4" xfId="10155" xr:uid="{89D57BC1-4E23-460F-971B-950ED7520443}"/>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1A723D0B-0BE4-4B31-913F-9025BE280028}"/>
    <cellStyle name="Normal 2 4 3 3 7 2 3" xfId="12713" xr:uid="{901781FA-8A04-45ED-BCC3-E1558FB5F562}"/>
    <cellStyle name="Normal 2 4 3 3 7 3" xfId="6344" xr:uid="{00000000-0005-0000-0000-00001C100000}"/>
    <cellStyle name="Normal 2 4 3 3 7 3 2" xfId="14786" xr:uid="{037B0318-6F69-4274-A648-DFA78BC5057C}"/>
    <cellStyle name="Normal 2 4 3 3 7 4" xfId="10568" xr:uid="{D350A693-7786-4C0A-9BD3-53B8CCDB8E62}"/>
    <cellStyle name="Normal 2 4 3 3 8" xfId="2473" xr:uid="{00000000-0005-0000-0000-00001D100000}"/>
    <cellStyle name="Normal 2 4 3 3 8 2" xfId="6757" xr:uid="{00000000-0005-0000-0000-00001E100000}"/>
    <cellStyle name="Normal 2 4 3 3 8 2 2" xfId="15199" xr:uid="{8A25545A-D0CA-46F4-A322-B79B28D82FAC}"/>
    <cellStyle name="Normal 2 4 3 3 8 3" xfId="10981" xr:uid="{C492D5D5-B8A9-4694-B0EF-C0722FC4A274}"/>
    <cellStyle name="Normal 2 4 3 3 9" xfId="4691" xr:uid="{00000000-0005-0000-0000-00001F100000}"/>
    <cellStyle name="Normal 2 4 3 3 9 2" xfId="13133" xr:uid="{010F57E1-8CD4-46DA-89A2-051381B31D15}"/>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9785D3E5-FC72-4653-9A02-6F6BC6AFF0B1}"/>
    <cellStyle name="Normal 2 4 3 4 2 3" xfId="11473" xr:uid="{845D0AE4-9350-4745-BF01-2833B42B3356}"/>
    <cellStyle name="Normal 2 4 3 4 3" xfId="5104" xr:uid="{00000000-0005-0000-0000-000023100000}"/>
    <cellStyle name="Normal 2 4 3 4 3 2" xfId="13546" xr:uid="{F43586C3-5456-4748-ACCB-7A74A7D7B366}"/>
    <cellStyle name="Normal 2 4 3 4 4" xfId="9328" xr:uid="{403F4107-03AD-44A6-AF03-232A19032887}"/>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7656780B-2D45-4CEC-B44E-490F1A4B48C0}"/>
    <cellStyle name="Normal 2 4 3 5 2 3" xfId="11886" xr:uid="{F6F4FBA3-05E5-4CBC-999E-136A113A89CA}"/>
    <cellStyle name="Normal 2 4 3 5 3" xfId="5517" xr:uid="{00000000-0005-0000-0000-000027100000}"/>
    <cellStyle name="Normal 2 4 3 5 3 2" xfId="13959" xr:uid="{1EE7E947-2E31-41EB-9CB6-E12DF268D2E2}"/>
    <cellStyle name="Normal 2 4 3 5 4" xfId="9741" xr:uid="{94CC8C19-A91F-49DB-B919-658A8A24C39C}"/>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C4A0D2C7-5E2F-458D-9928-4D011805DE42}"/>
    <cellStyle name="Normal 2 4 3 6 2 3" xfId="12299" xr:uid="{F9AE5C00-3DCB-4489-A9ED-2961AD54FAC3}"/>
    <cellStyle name="Normal 2 4 3 6 3" xfId="5930" xr:uid="{00000000-0005-0000-0000-00002B100000}"/>
    <cellStyle name="Normal 2 4 3 6 3 2" xfId="14372" xr:uid="{8114E0B2-FBB0-410B-A940-6EBF0ED7C7F3}"/>
    <cellStyle name="Normal 2 4 3 6 4" xfId="10154" xr:uid="{181D3376-4425-4B15-AE75-C6001ABFC3C5}"/>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4C34CBB3-B994-4B47-8DD5-6A6B20952098}"/>
    <cellStyle name="Normal 2 4 3 7 2 3" xfId="12712" xr:uid="{A36F2BD2-F05F-42DE-A067-1B31FE22FFBD}"/>
    <cellStyle name="Normal 2 4 3 7 3" xfId="6343" xr:uid="{00000000-0005-0000-0000-00002F100000}"/>
    <cellStyle name="Normal 2 4 3 7 3 2" xfId="14785" xr:uid="{CFFC81C7-7E22-46B1-BE8A-0B62C7F4C63B}"/>
    <cellStyle name="Normal 2 4 3 7 4" xfId="10567" xr:uid="{B6894D44-01A6-45A4-9D0C-F7FE6E2E3FC2}"/>
    <cellStyle name="Normal 2 4 3 8" xfId="2472" xr:uid="{00000000-0005-0000-0000-000030100000}"/>
    <cellStyle name="Normal 2 4 3 8 2" xfId="6756" xr:uid="{00000000-0005-0000-0000-000031100000}"/>
    <cellStyle name="Normal 2 4 3 8 2 2" xfId="15198" xr:uid="{605F420F-E35A-40C5-9D59-2ABD3BE35231}"/>
    <cellStyle name="Normal 2 4 3 8 3" xfId="10980" xr:uid="{4CC4F97E-0253-4573-9768-2B4D4DA8B20B}"/>
    <cellStyle name="Normal 2 4 3 9" xfId="4690" xr:uid="{00000000-0005-0000-0000-000032100000}"/>
    <cellStyle name="Normal 2 4 3 9 2" xfId="13132" xr:uid="{D6656867-0BD7-46B1-9A61-D20A95076EBC}"/>
    <cellStyle name="Normal 2 4 4" xfId="302" xr:uid="{00000000-0005-0000-0000-000033100000}"/>
    <cellStyle name="Normal 2 4 5" xfId="303" xr:uid="{00000000-0005-0000-0000-000034100000}"/>
    <cellStyle name="Normal 2 4 5 10" xfId="4695" xr:uid="{00000000-0005-0000-0000-000035100000}"/>
    <cellStyle name="Normal 2 4 5 10 2" xfId="13137" xr:uid="{4A256078-E96E-4240-B310-255B2B076BB9}"/>
    <cellStyle name="Normal 2 4 5 11" xfId="8919" xr:uid="{6CA2FD43-68FA-4247-8DF2-8F24B4315C05}"/>
    <cellStyle name="Normal 2 4 5 2" xfId="304" xr:uid="{00000000-0005-0000-0000-000036100000}"/>
    <cellStyle name="Normal 2 4 5 2 10" xfId="8920" xr:uid="{0FD84307-93AA-441F-8B3F-656F25FECE5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F95E0B68-1DC1-4F63-8C5E-86E19A2B3612}"/>
    <cellStyle name="Normal 2 4 5 2 2 2 2 2 3" xfId="11481" xr:uid="{3115239E-AC64-4B49-9F57-ED307EFE7878}"/>
    <cellStyle name="Normal 2 4 5 2 2 2 2 3" xfId="5112" xr:uid="{00000000-0005-0000-0000-00003C100000}"/>
    <cellStyle name="Normal 2 4 5 2 2 2 2 3 2" xfId="13554" xr:uid="{F7AB190F-868E-4B73-B892-EB9B3B12B114}"/>
    <cellStyle name="Normal 2 4 5 2 2 2 2 4" xfId="9336" xr:uid="{F5DE2C3B-630A-4822-ADA2-E95691F37348}"/>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1E85EF06-DDDA-4133-B2D0-BE10FAABA145}"/>
    <cellStyle name="Normal 2 4 5 2 2 2 3 2 3" xfId="11894" xr:uid="{5A67C958-E56F-4C77-8941-DBEA730E35F3}"/>
    <cellStyle name="Normal 2 4 5 2 2 2 3 3" xfId="5525" xr:uid="{00000000-0005-0000-0000-000040100000}"/>
    <cellStyle name="Normal 2 4 5 2 2 2 3 3 2" xfId="13967" xr:uid="{A753F5BF-75B6-46C1-AB5C-02313D68739D}"/>
    <cellStyle name="Normal 2 4 5 2 2 2 3 4" xfId="9749" xr:uid="{D3B26233-8CE7-4942-81F6-5B5493E7163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EAE5C75F-B5A9-4534-922E-E10F15DE6353}"/>
    <cellStyle name="Normal 2 4 5 2 2 2 4 2 3" xfId="12307" xr:uid="{A72D058C-5F5D-4A3B-BA4C-965FBCE6D36D}"/>
    <cellStyle name="Normal 2 4 5 2 2 2 4 3" xfId="5938" xr:uid="{00000000-0005-0000-0000-000044100000}"/>
    <cellStyle name="Normal 2 4 5 2 2 2 4 3 2" xfId="14380" xr:uid="{AEF91C6F-48AA-45CA-A81E-778B4351B998}"/>
    <cellStyle name="Normal 2 4 5 2 2 2 4 4" xfId="10162" xr:uid="{7A639F2F-BF94-418B-A867-666E797907F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25EA1A45-1EA8-42D3-80E8-6D2AF2E8399D}"/>
    <cellStyle name="Normal 2 4 5 2 2 2 5 2 3" xfId="12720" xr:uid="{5DC2616B-2DE2-4869-89B7-E4266B07B5AE}"/>
    <cellStyle name="Normal 2 4 5 2 2 2 5 3" xfId="6351" xr:uid="{00000000-0005-0000-0000-000048100000}"/>
    <cellStyle name="Normal 2 4 5 2 2 2 5 3 2" xfId="14793" xr:uid="{AA83CF3F-1780-42F6-8F3A-A2B29FA044DF}"/>
    <cellStyle name="Normal 2 4 5 2 2 2 5 4" xfId="10575" xr:uid="{6179D677-DBCB-4262-9463-91A52A11AA46}"/>
    <cellStyle name="Normal 2 4 5 2 2 2 6" xfId="2480" xr:uid="{00000000-0005-0000-0000-000049100000}"/>
    <cellStyle name="Normal 2 4 5 2 2 2 6 2" xfId="6764" xr:uid="{00000000-0005-0000-0000-00004A100000}"/>
    <cellStyle name="Normal 2 4 5 2 2 2 6 2 2" xfId="15206" xr:uid="{5D97D1B0-8CF3-4176-97BA-E4E486E1CC1C}"/>
    <cellStyle name="Normal 2 4 5 2 2 2 6 3" xfId="10988" xr:uid="{3397145A-7B23-48F6-92F3-D6866B196B3B}"/>
    <cellStyle name="Normal 2 4 5 2 2 2 7" xfId="4698" xr:uid="{00000000-0005-0000-0000-00004B100000}"/>
    <cellStyle name="Normal 2 4 5 2 2 2 7 2" xfId="13140" xr:uid="{43AA95FC-9871-4B51-AF31-B5AFF06B3C1D}"/>
    <cellStyle name="Normal 2 4 5 2 2 2 8" xfId="8922" xr:uid="{BAE28733-7CC3-4013-AFF8-2DC31DD8477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7309C3FC-110B-430B-850A-5A5AFB514850}"/>
    <cellStyle name="Normal 2 4 5 2 2 3 2 3" xfId="11480" xr:uid="{4B1CFDFE-2406-483A-AA7A-7EFD29E669FF}"/>
    <cellStyle name="Normal 2 4 5 2 2 3 3" xfId="5111" xr:uid="{00000000-0005-0000-0000-00004F100000}"/>
    <cellStyle name="Normal 2 4 5 2 2 3 3 2" xfId="13553" xr:uid="{63CADD00-8B2A-4797-9855-6E55E49A6484}"/>
    <cellStyle name="Normal 2 4 5 2 2 3 4" xfId="9335" xr:uid="{CC9EDA26-2F6E-4568-820F-24FA41A466EE}"/>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8A6ED836-C808-4752-ADE9-568DD9CF4962}"/>
    <cellStyle name="Normal 2 4 5 2 2 4 2 3" xfId="11893" xr:uid="{7385A895-224B-47FB-9335-EC04B6C7DA46}"/>
    <cellStyle name="Normal 2 4 5 2 2 4 3" xfId="5524" xr:uid="{00000000-0005-0000-0000-000053100000}"/>
    <cellStyle name="Normal 2 4 5 2 2 4 3 2" xfId="13966" xr:uid="{8F1D3BD7-D8AB-46B6-939D-FB2AB02BD153}"/>
    <cellStyle name="Normal 2 4 5 2 2 4 4" xfId="9748" xr:uid="{1651058C-7AD8-406B-8E04-89D99DCCEA3A}"/>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4D89A90D-7CE7-4C86-8736-0FF36CF3774B}"/>
    <cellStyle name="Normal 2 4 5 2 2 5 2 3" xfId="12306" xr:uid="{F7A70636-E524-40B1-B0A8-84A50FEEAFEF}"/>
    <cellStyle name="Normal 2 4 5 2 2 5 3" xfId="5937" xr:uid="{00000000-0005-0000-0000-000057100000}"/>
    <cellStyle name="Normal 2 4 5 2 2 5 3 2" xfId="14379" xr:uid="{48CE3465-9666-4F89-841D-5B1ED7341043}"/>
    <cellStyle name="Normal 2 4 5 2 2 5 4" xfId="10161" xr:uid="{38055CB8-F3BA-4F1F-860F-A0ABD698801F}"/>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437D9DC2-82DF-495D-89C4-D71113D57A77}"/>
    <cellStyle name="Normal 2 4 5 2 2 6 2 3" xfId="12719" xr:uid="{C959F43B-2F11-4B2D-B01D-17E0B494B636}"/>
    <cellStyle name="Normal 2 4 5 2 2 6 3" xfId="6350" xr:uid="{00000000-0005-0000-0000-00005B100000}"/>
    <cellStyle name="Normal 2 4 5 2 2 6 3 2" xfId="14792" xr:uid="{E6E6835E-24A6-4551-89DE-B1BE2CEBA29F}"/>
    <cellStyle name="Normal 2 4 5 2 2 6 4" xfId="10574" xr:uid="{B16B4D8B-CA3C-44F2-A3A4-779C3016232A}"/>
    <cellStyle name="Normal 2 4 5 2 2 7" xfId="2479" xr:uid="{00000000-0005-0000-0000-00005C100000}"/>
    <cellStyle name="Normal 2 4 5 2 2 7 2" xfId="6763" xr:uid="{00000000-0005-0000-0000-00005D100000}"/>
    <cellStyle name="Normal 2 4 5 2 2 7 2 2" xfId="15205" xr:uid="{9A38C504-CD31-4312-9E49-CC0310650AFD}"/>
    <cellStyle name="Normal 2 4 5 2 2 7 3" xfId="10987" xr:uid="{DA7A0F04-ABB7-4010-884B-1460C214D806}"/>
    <cellStyle name="Normal 2 4 5 2 2 8" xfId="4697" xr:uid="{00000000-0005-0000-0000-00005E100000}"/>
    <cellStyle name="Normal 2 4 5 2 2 8 2" xfId="13139" xr:uid="{25C814FB-CBE5-48B3-9C74-5CBED10971A3}"/>
    <cellStyle name="Normal 2 4 5 2 2 9" xfId="8921" xr:uid="{957AEB47-7D14-464A-A2C4-EFA0CF9FEE2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2A948EDA-41ED-4309-A33E-89A75B1A37E0}"/>
    <cellStyle name="Normal 2 4 5 2 3 2 2 3" xfId="11482" xr:uid="{A04DE46E-1CE7-4760-8B3D-D680ACFF300D}"/>
    <cellStyle name="Normal 2 4 5 2 3 2 3" xfId="5113" xr:uid="{00000000-0005-0000-0000-000063100000}"/>
    <cellStyle name="Normal 2 4 5 2 3 2 3 2" xfId="13555" xr:uid="{B1C619BC-F3B4-470F-91D0-BB0ED48771D5}"/>
    <cellStyle name="Normal 2 4 5 2 3 2 4" xfId="9337" xr:uid="{22411519-DE89-48F3-BA03-EF88918B6508}"/>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CB9E006A-145A-4266-8AF9-903ACA98DC7C}"/>
    <cellStyle name="Normal 2 4 5 2 3 3 2 3" xfId="11895" xr:uid="{47E52E72-48E3-404E-B084-2EC356ACD1F4}"/>
    <cellStyle name="Normal 2 4 5 2 3 3 3" xfId="5526" xr:uid="{00000000-0005-0000-0000-000067100000}"/>
    <cellStyle name="Normal 2 4 5 2 3 3 3 2" xfId="13968" xr:uid="{68B3EE84-1F1C-429F-BC74-6C80E3C0FF1F}"/>
    <cellStyle name="Normal 2 4 5 2 3 3 4" xfId="9750" xr:uid="{FED292F8-BEC7-4A5E-BDB0-286D2B4BB58C}"/>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B20A5B2B-B8E7-4778-8EF5-0A2106FAFB49}"/>
    <cellStyle name="Normal 2 4 5 2 3 4 2 3" xfId="12308" xr:uid="{AFA45CD1-2070-4381-B0D9-54A3585CCF27}"/>
    <cellStyle name="Normal 2 4 5 2 3 4 3" xfId="5939" xr:uid="{00000000-0005-0000-0000-00006B100000}"/>
    <cellStyle name="Normal 2 4 5 2 3 4 3 2" xfId="14381" xr:uid="{65967441-197F-4442-9450-2FFD5AC7F4B7}"/>
    <cellStyle name="Normal 2 4 5 2 3 4 4" xfId="10163" xr:uid="{C96F15B0-2291-4943-8B6F-9CD2FF5E783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C2DF5609-1212-4C1B-A29A-50D89CA80A57}"/>
    <cellStyle name="Normal 2 4 5 2 3 5 2 3" xfId="12721" xr:uid="{8FDB8041-5A7F-4EAC-B4DF-9305D7785CEF}"/>
    <cellStyle name="Normal 2 4 5 2 3 5 3" xfId="6352" xr:uid="{00000000-0005-0000-0000-00006F100000}"/>
    <cellStyle name="Normal 2 4 5 2 3 5 3 2" xfId="14794" xr:uid="{EAD73306-1050-4D57-89ED-198BF06DD7D9}"/>
    <cellStyle name="Normal 2 4 5 2 3 5 4" xfId="10576" xr:uid="{27EDA332-E0E3-4B1A-9BCD-534D50C4AF28}"/>
    <cellStyle name="Normal 2 4 5 2 3 6" xfId="2481" xr:uid="{00000000-0005-0000-0000-000070100000}"/>
    <cellStyle name="Normal 2 4 5 2 3 6 2" xfId="6765" xr:uid="{00000000-0005-0000-0000-000071100000}"/>
    <cellStyle name="Normal 2 4 5 2 3 6 2 2" xfId="15207" xr:uid="{CA8F42FC-FD83-455E-A778-8FC033C358FC}"/>
    <cellStyle name="Normal 2 4 5 2 3 6 3" xfId="10989" xr:uid="{E9C088D3-00D9-44BC-B1F3-7F85C201C136}"/>
    <cellStyle name="Normal 2 4 5 2 3 7" xfId="4699" xr:uid="{00000000-0005-0000-0000-000072100000}"/>
    <cellStyle name="Normal 2 4 5 2 3 7 2" xfId="13141" xr:uid="{3224FE0E-EFD4-4226-81A6-971D3776B52F}"/>
    <cellStyle name="Normal 2 4 5 2 3 8" xfId="8923" xr:uid="{5B935F2E-3C29-40D3-BC15-59C866388963}"/>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74DA11B4-6AA8-448A-86D8-CE9D99382C9E}"/>
    <cellStyle name="Normal 2 4 5 2 4 2 3" xfId="11479" xr:uid="{999E48E2-5111-4235-A5BE-7E9D5AB4537C}"/>
    <cellStyle name="Normal 2 4 5 2 4 3" xfId="5110" xr:uid="{00000000-0005-0000-0000-000076100000}"/>
    <cellStyle name="Normal 2 4 5 2 4 3 2" xfId="13552" xr:uid="{66BD0D5B-148C-493B-953B-77E32E589387}"/>
    <cellStyle name="Normal 2 4 5 2 4 4" xfId="9334" xr:uid="{0F52A23D-D6D8-48FC-8841-7CEF73B0F888}"/>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86EF0B39-ECDD-4A60-ACF7-6E89169CEEF5}"/>
    <cellStyle name="Normal 2 4 5 2 5 2 3" xfId="11892" xr:uid="{B4B9DEE1-A910-4A6F-90E0-16F5CACDE975}"/>
    <cellStyle name="Normal 2 4 5 2 5 3" xfId="5523" xr:uid="{00000000-0005-0000-0000-00007A100000}"/>
    <cellStyle name="Normal 2 4 5 2 5 3 2" xfId="13965" xr:uid="{697AC41C-2EFA-4593-80D6-419BE2769621}"/>
    <cellStyle name="Normal 2 4 5 2 5 4" xfId="9747" xr:uid="{4C9F5C67-8D97-490C-BB90-EE826F41DE18}"/>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5C0D9DE4-15AE-489D-9A2F-C30D3A03C22C}"/>
    <cellStyle name="Normal 2 4 5 2 6 2 3" xfId="12305" xr:uid="{16CB6C3A-260A-4E4F-84CF-FDE0872FD19C}"/>
    <cellStyle name="Normal 2 4 5 2 6 3" xfId="5936" xr:uid="{00000000-0005-0000-0000-00007E100000}"/>
    <cellStyle name="Normal 2 4 5 2 6 3 2" xfId="14378" xr:uid="{8144B950-F261-4475-8758-624C1970DC3D}"/>
    <cellStyle name="Normal 2 4 5 2 6 4" xfId="10160" xr:uid="{8B8D10ED-12AD-45EF-A7A3-F22101A36C9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6A965FA6-6519-4147-8FE8-6ACA5AC4AFA2}"/>
    <cellStyle name="Normal 2 4 5 2 7 2 3" xfId="12718" xr:uid="{198F92B9-C476-41F4-9BE3-40CC51603B21}"/>
    <cellStyle name="Normal 2 4 5 2 7 3" xfId="6349" xr:uid="{00000000-0005-0000-0000-000082100000}"/>
    <cellStyle name="Normal 2 4 5 2 7 3 2" xfId="14791" xr:uid="{696AC5B2-EECA-4BB8-A05E-844FEEFAA418}"/>
    <cellStyle name="Normal 2 4 5 2 7 4" xfId="10573" xr:uid="{FD57D8AE-1BE5-43AC-B508-46485D507214}"/>
    <cellStyle name="Normal 2 4 5 2 8" xfId="2478" xr:uid="{00000000-0005-0000-0000-000083100000}"/>
    <cellStyle name="Normal 2 4 5 2 8 2" xfId="6762" xr:uid="{00000000-0005-0000-0000-000084100000}"/>
    <cellStyle name="Normal 2 4 5 2 8 2 2" xfId="15204" xr:uid="{06412492-1448-42DE-8C7D-68BD89CF8151}"/>
    <cellStyle name="Normal 2 4 5 2 8 3" xfId="10986" xr:uid="{2E8B94A0-4EC4-492A-A12F-FB46A7E9D20D}"/>
    <cellStyle name="Normal 2 4 5 2 9" xfId="4696" xr:uid="{00000000-0005-0000-0000-000085100000}"/>
    <cellStyle name="Normal 2 4 5 2 9 2" xfId="13138" xr:uid="{2B3BB216-1719-4D79-B1A0-5F6BEAAC0519}"/>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58008BF8-8801-48F8-972D-563595D38285}"/>
    <cellStyle name="Normal 2 4 5 3 2 2 2 3" xfId="11484" xr:uid="{7D02D52D-9C81-4654-BE7D-04618266238A}"/>
    <cellStyle name="Normal 2 4 5 3 2 2 3" xfId="5115" xr:uid="{00000000-0005-0000-0000-00008B100000}"/>
    <cellStyle name="Normal 2 4 5 3 2 2 3 2" xfId="13557" xr:uid="{854AB4DD-0711-4C74-8998-29B8C3770890}"/>
    <cellStyle name="Normal 2 4 5 3 2 2 4" xfId="9339" xr:uid="{4B4C3A40-B34E-490C-B208-5166186E7DE5}"/>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B219F457-F4E9-428A-8EAD-65C5A2B7EA57}"/>
    <cellStyle name="Normal 2 4 5 3 2 3 2 3" xfId="11897" xr:uid="{D6BE508D-BB1C-44B7-8B03-3FE8AA37CE03}"/>
    <cellStyle name="Normal 2 4 5 3 2 3 3" xfId="5528" xr:uid="{00000000-0005-0000-0000-00008F100000}"/>
    <cellStyle name="Normal 2 4 5 3 2 3 3 2" xfId="13970" xr:uid="{65CAA9B9-1B02-404D-9198-AEB40B192A4D}"/>
    <cellStyle name="Normal 2 4 5 3 2 3 4" xfId="9752" xr:uid="{AD249367-2721-4F0A-833C-0DCD7665DFF1}"/>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B2522DEC-72D1-49D8-B536-089B151F8D30}"/>
    <cellStyle name="Normal 2 4 5 3 2 4 2 3" xfId="12310" xr:uid="{263FC84F-E41E-45B9-8BA7-C1792A239ADB}"/>
    <cellStyle name="Normal 2 4 5 3 2 4 3" xfId="5941" xr:uid="{00000000-0005-0000-0000-000093100000}"/>
    <cellStyle name="Normal 2 4 5 3 2 4 3 2" xfId="14383" xr:uid="{A2B1E007-3FEE-4169-A337-7B5EA72BE227}"/>
    <cellStyle name="Normal 2 4 5 3 2 4 4" xfId="10165" xr:uid="{0EA29091-E32E-4D49-8201-3F867CC8A55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C932F200-FE68-48D0-96AC-4A0D55CC3675}"/>
    <cellStyle name="Normal 2 4 5 3 2 5 2 3" xfId="12723" xr:uid="{D539BEFF-AB4C-486C-BA72-87C534F2B0ED}"/>
    <cellStyle name="Normal 2 4 5 3 2 5 3" xfId="6354" xr:uid="{00000000-0005-0000-0000-000097100000}"/>
    <cellStyle name="Normal 2 4 5 3 2 5 3 2" xfId="14796" xr:uid="{7AAD7AA9-688D-4FDB-B486-9BA609483854}"/>
    <cellStyle name="Normal 2 4 5 3 2 5 4" xfId="10578" xr:uid="{EAE55030-BCE5-4CC7-8622-11342BF9300D}"/>
    <cellStyle name="Normal 2 4 5 3 2 6" xfId="2483" xr:uid="{00000000-0005-0000-0000-000098100000}"/>
    <cellStyle name="Normal 2 4 5 3 2 6 2" xfId="6767" xr:uid="{00000000-0005-0000-0000-000099100000}"/>
    <cellStyle name="Normal 2 4 5 3 2 6 2 2" xfId="15209" xr:uid="{276C07BE-E5A0-40A8-9C1B-03D085A66DE9}"/>
    <cellStyle name="Normal 2 4 5 3 2 6 3" xfId="10991" xr:uid="{910B2A84-A958-40DA-A885-A71C891DEC76}"/>
    <cellStyle name="Normal 2 4 5 3 2 7" xfId="4701" xr:uid="{00000000-0005-0000-0000-00009A100000}"/>
    <cellStyle name="Normal 2 4 5 3 2 7 2" xfId="13143" xr:uid="{BDD70830-1D22-4139-976B-C44EC706272F}"/>
    <cellStyle name="Normal 2 4 5 3 2 8" xfId="8925" xr:uid="{67B69B6A-A83D-4B74-A267-0F845AF5A229}"/>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A2CF0E96-6C4C-445B-84EC-122A04275AB4}"/>
    <cellStyle name="Normal 2 4 5 3 3 2 3" xfId="11483" xr:uid="{44B406C2-00E3-4EAE-963B-1422DCCB0A57}"/>
    <cellStyle name="Normal 2 4 5 3 3 3" xfId="5114" xr:uid="{00000000-0005-0000-0000-00009E100000}"/>
    <cellStyle name="Normal 2 4 5 3 3 3 2" xfId="13556" xr:uid="{7DD52807-9F01-424E-BB90-0EDEF881C2EE}"/>
    <cellStyle name="Normal 2 4 5 3 3 4" xfId="9338" xr:uid="{7352E429-30CD-4675-9886-0180B717647C}"/>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AC1BB620-12A1-443E-BDBE-E9DC98B18BF6}"/>
    <cellStyle name="Normal 2 4 5 3 4 2 3" xfId="11896" xr:uid="{232E256C-822C-48FC-BFE7-B364B2E29AEC}"/>
    <cellStyle name="Normal 2 4 5 3 4 3" xfId="5527" xr:uid="{00000000-0005-0000-0000-0000A2100000}"/>
    <cellStyle name="Normal 2 4 5 3 4 3 2" xfId="13969" xr:uid="{D2DCD7F6-AB78-491D-9664-21A77D45160F}"/>
    <cellStyle name="Normal 2 4 5 3 4 4" xfId="9751" xr:uid="{5E9F66F9-1972-4882-AEFE-2BF250923393}"/>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459D8DF-81DA-416A-83C2-A42714E6AA79}"/>
    <cellStyle name="Normal 2 4 5 3 5 2 3" xfId="12309" xr:uid="{81CB33B7-57F8-4400-BBA4-73B5AF52CDE3}"/>
    <cellStyle name="Normal 2 4 5 3 5 3" xfId="5940" xr:uid="{00000000-0005-0000-0000-0000A6100000}"/>
    <cellStyle name="Normal 2 4 5 3 5 3 2" xfId="14382" xr:uid="{3BA33E81-1867-44F9-87D8-2FEEAD03FDC1}"/>
    <cellStyle name="Normal 2 4 5 3 5 4" xfId="10164" xr:uid="{00DB1FA9-4D78-4B50-95CC-987AA92C9062}"/>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7CD08A2B-F92C-410C-A552-714F5B69674A}"/>
    <cellStyle name="Normal 2 4 5 3 6 2 3" xfId="12722" xr:uid="{9C1094B6-2287-460B-9DB8-CD4AF674BEBE}"/>
    <cellStyle name="Normal 2 4 5 3 6 3" xfId="6353" xr:uid="{00000000-0005-0000-0000-0000AA100000}"/>
    <cellStyle name="Normal 2 4 5 3 6 3 2" xfId="14795" xr:uid="{62241A91-8A19-453F-BF6A-81DC9BABC377}"/>
    <cellStyle name="Normal 2 4 5 3 6 4" xfId="10577" xr:uid="{7829A486-37B3-4521-B24F-70A9355E4202}"/>
    <cellStyle name="Normal 2 4 5 3 7" xfId="2482" xr:uid="{00000000-0005-0000-0000-0000AB100000}"/>
    <cellStyle name="Normal 2 4 5 3 7 2" xfId="6766" xr:uid="{00000000-0005-0000-0000-0000AC100000}"/>
    <cellStyle name="Normal 2 4 5 3 7 2 2" xfId="15208" xr:uid="{28C52EF1-EFBD-4825-9F57-DAB54490E6A5}"/>
    <cellStyle name="Normal 2 4 5 3 7 3" xfId="10990" xr:uid="{93D350A7-AC3F-463A-9687-89E69B962081}"/>
    <cellStyle name="Normal 2 4 5 3 8" xfId="4700" xr:uid="{00000000-0005-0000-0000-0000AD100000}"/>
    <cellStyle name="Normal 2 4 5 3 8 2" xfId="13142" xr:uid="{375D1DD3-84A9-40AA-8DA5-013AF44606F8}"/>
    <cellStyle name="Normal 2 4 5 3 9" xfId="8924" xr:uid="{1699CA2F-943D-4028-B167-05B7DE54F0E1}"/>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9ECEB864-8D56-41C1-BC75-CB63EF840525}"/>
    <cellStyle name="Normal 2 4 5 4 2 2 3" xfId="11485" xr:uid="{2C103B6F-DE5E-41E0-AA4C-AEEB491B120C}"/>
    <cellStyle name="Normal 2 4 5 4 2 3" xfId="5116" xr:uid="{00000000-0005-0000-0000-0000B2100000}"/>
    <cellStyle name="Normal 2 4 5 4 2 3 2" xfId="13558" xr:uid="{3EA6D797-CA6D-410A-89E4-EE563DD12B7D}"/>
    <cellStyle name="Normal 2 4 5 4 2 4" xfId="9340" xr:uid="{787B6F64-07E2-4C4E-BDC4-066CE3C2B334}"/>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4A120D93-7C54-48D0-B5EF-D36331E6A30B}"/>
    <cellStyle name="Normal 2 4 5 4 3 2 3" xfId="11898" xr:uid="{3FAA1334-9591-4777-9A55-59B9E96DA20A}"/>
    <cellStyle name="Normal 2 4 5 4 3 3" xfId="5529" xr:uid="{00000000-0005-0000-0000-0000B6100000}"/>
    <cellStyle name="Normal 2 4 5 4 3 3 2" xfId="13971" xr:uid="{A07749C3-AD06-4FF6-9BBF-580E908ECDEC}"/>
    <cellStyle name="Normal 2 4 5 4 3 4" xfId="9753" xr:uid="{AA8C97D5-E578-46EA-91A0-7380429EA1B5}"/>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13991C6A-DF6A-41CD-A710-2F2AD425201C}"/>
    <cellStyle name="Normal 2 4 5 4 4 2 3" xfId="12311" xr:uid="{761590B4-21E4-46ED-8F86-222638DEA1C1}"/>
    <cellStyle name="Normal 2 4 5 4 4 3" xfId="5942" xr:uid="{00000000-0005-0000-0000-0000BA100000}"/>
    <cellStyle name="Normal 2 4 5 4 4 3 2" xfId="14384" xr:uid="{B7F5ACEA-896D-45F8-A552-C105F4690010}"/>
    <cellStyle name="Normal 2 4 5 4 4 4" xfId="10166" xr:uid="{4389B428-8B04-4E20-B04A-C8E85EE9EBC3}"/>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F0D4168C-0ACB-4A2A-8477-F17BD61250BE}"/>
    <cellStyle name="Normal 2 4 5 4 5 2 3" xfId="12724" xr:uid="{FD8DA5CE-2C7D-4827-9FD9-F5D062953EC6}"/>
    <cellStyle name="Normal 2 4 5 4 5 3" xfId="6355" xr:uid="{00000000-0005-0000-0000-0000BE100000}"/>
    <cellStyle name="Normal 2 4 5 4 5 3 2" xfId="14797" xr:uid="{7E95DEC2-4F93-40E6-82EC-45CFE78D2D33}"/>
    <cellStyle name="Normal 2 4 5 4 5 4" xfId="10579" xr:uid="{9B0AA020-5BC7-47AE-944B-A9C2EE5A0DBB}"/>
    <cellStyle name="Normal 2 4 5 4 6" xfId="2484" xr:uid="{00000000-0005-0000-0000-0000BF100000}"/>
    <cellStyle name="Normal 2 4 5 4 6 2" xfId="6768" xr:uid="{00000000-0005-0000-0000-0000C0100000}"/>
    <cellStyle name="Normal 2 4 5 4 6 2 2" xfId="15210" xr:uid="{C8E938DC-C871-4D41-800A-6BA7D2EAEC68}"/>
    <cellStyle name="Normal 2 4 5 4 6 3" xfId="10992" xr:uid="{BEFAC91D-7D06-4AD2-BB7A-452B0491C516}"/>
    <cellStyle name="Normal 2 4 5 4 7" xfId="4702" xr:uid="{00000000-0005-0000-0000-0000C1100000}"/>
    <cellStyle name="Normal 2 4 5 4 7 2" xfId="13144" xr:uid="{0E08ABCF-6C1A-4D4A-A4C4-6606757F6B4E}"/>
    <cellStyle name="Normal 2 4 5 4 8" xfId="8926" xr:uid="{95E482D9-BEAA-49F2-BA65-AF9F5A1E41B7}"/>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AF26B616-53F2-4EA0-A207-6423D44A3556}"/>
    <cellStyle name="Normal 2 4 5 5 2 3" xfId="11478" xr:uid="{BAC1D3C2-2918-405D-A24D-5A0A0D28B9F4}"/>
    <cellStyle name="Normal 2 4 5 5 3" xfId="5109" xr:uid="{00000000-0005-0000-0000-0000C5100000}"/>
    <cellStyle name="Normal 2 4 5 5 3 2" xfId="13551" xr:uid="{3A8258F5-77C5-4A58-BFD6-F28DDD9A58C5}"/>
    <cellStyle name="Normal 2 4 5 5 4" xfId="9333" xr:uid="{FAB12A02-9C62-4653-9002-F22ECCE25D36}"/>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2D850842-07CD-4F15-BF3F-61AB2F5F2206}"/>
    <cellStyle name="Normal 2 4 5 6 2 3" xfId="11891" xr:uid="{2C81494E-6614-4421-A404-84DFD1E9ADAB}"/>
    <cellStyle name="Normal 2 4 5 6 3" xfId="5522" xr:uid="{00000000-0005-0000-0000-0000C9100000}"/>
    <cellStyle name="Normal 2 4 5 6 3 2" xfId="13964" xr:uid="{B38A0F12-0C0D-481B-96A9-A36E697EFC52}"/>
    <cellStyle name="Normal 2 4 5 6 4" xfId="9746" xr:uid="{F5A969A1-E25B-4A36-BAED-E68732025894}"/>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652905CA-D033-4BBD-AE24-2CCF53BC91D8}"/>
    <cellStyle name="Normal 2 4 5 7 2 3" xfId="12304" xr:uid="{80FFC270-7338-4D8D-969C-2E553A9110CB}"/>
    <cellStyle name="Normal 2 4 5 7 3" xfId="5935" xr:uid="{00000000-0005-0000-0000-0000CD100000}"/>
    <cellStyle name="Normal 2 4 5 7 3 2" xfId="14377" xr:uid="{7E92D868-2BA3-4E09-8835-010468E4F447}"/>
    <cellStyle name="Normal 2 4 5 7 4" xfId="10159" xr:uid="{A818D588-B32E-466A-A256-14158194FF18}"/>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88899111-708B-4B4F-9BCE-2D5903B13231}"/>
    <cellStyle name="Normal 2 4 5 8 2 3" xfId="12717" xr:uid="{947D0ABA-2669-4CB5-97CD-076B6DC7CF06}"/>
    <cellStyle name="Normal 2 4 5 8 3" xfId="6348" xr:uid="{00000000-0005-0000-0000-0000D1100000}"/>
    <cellStyle name="Normal 2 4 5 8 3 2" xfId="14790" xr:uid="{13AFE2D7-C7D7-4A8C-A09B-B8CCC00AD9D3}"/>
    <cellStyle name="Normal 2 4 5 8 4" xfId="10572" xr:uid="{C88AE11A-DB53-45AA-8D1C-DE21C0F3DCAC}"/>
    <cellStyle name="Normal 2 4 5 9" xfId="2477" xr:uid="{00000000-0005-0000-0000-0000D2100000}"/>
    <cellStyle name="Normal 2 4 5 9 2" xfId="6761" xr:uid="{00000000-0005-0000-0000-0000D3100000}"/>
    <cellStyle name="Normal 2 4 5 9 2 2" xfId="15203" xr:uid="{50249EDD-5BD0-4C27-9009-A92E0FED58DE}"/>
    <cellStyle name="Normal 2 4 5 9 3" xfId="10985" xr:uid="{CC84ACB7-0FE9-426E-8F52-BBEA94D285A9}"/>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338C3BDB-0D59-497C-81E4-EB5F59C29F22}"/>
    <cellStyle name="Normal 2 4 7 2 2 2 3" xfId="11487" xr:uid="{02694501-8C5A-4A74-A788-4E83C87915A0}"/>
    <cellStyle name="Normal 2 4 7 2 2 3" xfId="5118" xr:uid="{00000000-0005-0000-0000-0000DA100000}"/>
    <cellStyle name="Normal 2 4 7 2 2 3 2" xfId="13560" xr:uid="{198C83FF-D2B4-48E3-8850-65403CE9C0F6}"/>
    <cellStyle name="Normal 2 4 7 2 2 4" xfId="9342" xr:uid="{0C549E87-2BC8-4611-BAD2-462B7DB19813}"/>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085B9673-E79C-45C8-A6EF-230E35CCB116}"/>
    <cellStyle name="Normal 2 4 7 2 3 2 3" xfId="11900" xr:uid="{E02246EF-A2F9-45F9-A652-64BCF5416C43}"/>
    <cellStyle name="Normal 2 4 7 2 3 3" xfId="5531" xr:uid="{00000000-0005-0000-0000-0000DE100000}"/>
    <cellStyle name="Normal 2 4 7 2 3 3 2" xfId="13973" xr:uid="{9F187840-6F10-452B-83BE-6D01EF8B931C}"/>
    <cellStyle name="Normal 2 4 7 2 3 4" xfId="9755" xr:uid="{D3338463-025E-4A24-9619-FF30C6C536A7}"/>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1EADA47B-EE32-450C-A91E-8490C76D300A}"/>
    <cellStyle name="Normal 2 4 7 2 4 2 3" xfId="12313" xr:uid="{E1EAC810-79FC-4909-8A4B-BB2EA0F3201F}"/>
    <cellStyle name="Normal 2 4 7 2 4 3" xfId="5944" xr:uid="{00000000-0005-0000-0000-0000E2100000}"/>
    <cellStyle name="Normal 2 4 7 2 4 3 2" xfId="14386" xr:uid="{1DE708C0-EDA4-4A05-B9B6-A21E0A00312B}"/>
    <cellStyle name="Normal 2 4 7 2 4 4" xfId="10168" xr:uid="{3B38D899-7801-4D8E-B7D5-6C0E87C8A02A}"/>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B94D8DDC-C8F8-496B-91E5-21CA63C6C1A7}"/>
    <cellStyle name="Normal 2 4 7 2 5 2 3" xfId="12726" xr:uid="{BBBDDEE0-652D-4C4A-A3E4-43A246C0323D}"/>
    <cellStyle name="Normal 2 4 7 2 5 3" xfId="6357" xr:uid="{00000000-0005-0000-0000-0000E6100000}"/>
    <cellStyle name="Normal 2 4 7 2 5 3 2" xfId="14799" xr:uid="{56B5E35D-9429-4C5C-984C-E7BB9F9C0CBB}"/>
    <cellStyle name="Normal 2 4 7 2 5 4" xfId="10581" xr:uid="{6141A261-29EA-4A29-B0DE-990261DEEBC8}"/>
    <cellStyle name="Normal 2 4 7 2 6" xfId="2486" xr:uid="{00000000-0005-0000-0000-0000E7100000}"/>
    <cellStyle name="Normal 2 4 7 2 6 2" xfId="6770" xr:uid="{00000000-0005-0000-0000-0000E8100000}"/>
    <cellStyle name="Normal 2 4 7 2 6 2 2" xfId="15212" xr:uid="{75493FD0-22AE-4289-924D-BB6F7F031362}"/>
    <cellStyle name="Normal 2 4 7 2 6 3" xfId="10994" xr:uid="{D0E1DF6B-6531-48E0-AEBB-4C05D055C8FA}"/>
    <cellStyle name="Normal 2 4 7 2 7" xfId="4704" xr:uid="{00000000-0005-0000-0000-0000E9100000}"/>
    <cellStyle name="Normal 2 4 7 2 7 2" xfId="13146" xr:uid="{09149B22-DA8C-41AC-9AAD-60E23AA1578A}"/>
    <cellStyle name="Normal 2 4 7 2 8" xfId="8928" xr:uid="{D4B3011C-9F8B-47B1-A7F5-35CD84082FEE}"/>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0ECE4E3C-E95D-4151-9446-E34B4FCFAF3F}"/>
    <cellStyle name="Normal 2 4 7 3 2 3" xfId="11486" xr:uid="{73D23046-8297-4ACB-892C-EF366D16FC95}"/>
    <cellStyle name="Normal 2 4 7 3 3" xfId="5117" xr:uid="{00000000-0005-0000-0000-0000ED100000}"/>
    <cellStyle name="Normal 2 4 7 3 3 2" xfId="13559" xr:uid="{1C8739D0-700F-466C-BAA3-9E12053AD997}"/>
    <cellStyle name="Normal 2 4 7 3 4" xfId="9341" xr:uid="{CBFF0777-39C9-402F-9130-87CAE8443BE8}"/>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D6B2D4A6-8F0D-4EE8-A9C9-6E317369519F}"/>
    <cellStyle name="Normal 2 4 7 4 2 3" xfId="11899" xr:uid="{82E1D402-7E25-4593-90C8-93A87240D716}"/>
    <cellStyle name="Normal 2 4 7 4 3" xfId="5530" xr:uid="{00000000-0005-0000-0000-0000F1100000}"/>
    <cellStyle name="Normal 2 4 7 4 3 2" xfId="13972" xr:uid="{F6F3B833-D812-45BE-94E3-8C9241573AEE}"/>
    <cellStyle name="Normal 2 4 7 4 4" xfId="9754" xr:uid="{F221BD6E-6F6B-4FFF-AACF-A3C673ED215C}"/>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40682980-0C00-4A56-95BB-29200BC4DA86}"/>
    <cellStyle name="Normal 2 4 7 5 2 3" xfId="12312" xr:uid="{4AD065BA-EB08-415B-8CA8-FC6D3C211DC8}"/>
    <cellStyle name="Normal 2 4 7 5 3" xfId="5943" xr:uid="{00000000-0005-0000-0000-0000F5100000}"/>
    <cellStyle name="Normal 2 4 7 5 3 2" xfId="14385" xr:uid="{FA374088-DCE4-47D6-8ABA-52DBCB8851CE}"/>
    <cellStyle name="Normal 2 4 7 5 4" xfId="10167" xr:uid="{F5644FEF-51CB-48CF-A3CB-434317B57B9D}"/>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4C2B511B-FBEC-481C-8C73-34E22CDF2AF3}"/>
    <cellStyle name="Normal 2 4 7 6 2 3" xfId="12725" xr:uid="{C708AE4C-5FC8-4726-B1D0-09C1FB380D9C}"/>
    <cellStyle name="Normal 2 4 7 6 3" xfId="6356" xr:uid="{00000000-0005-0000-0000-0000F9100000}"/>
    <cellStyle name="Normal 2 4 7 6 3 2" xfId="14798" xr:uid="{A406E27A-60F5-487C-8D97-0ECB2CFA4F51}"/>
    <cellStyle name="Normal 2 4 7 6 4" xfId="10580" xr:uid="{8327968F-7966-45DF-B08C-85DB8A525484}"/>
    <cellStyle name="Normal 2 4 7 7" xfId="2485" xr:uid="{00000000-0005-0000-0000-0000FA100000}"/>
    <cellStyle name="Normal 2 4 7 7 2" xfId="6769" xr:uid="{00000000-0005-0000-0000-0000FB100000}"/>
    <cellStyle name="Normal 2 4 7 7 2 2" xfId="15211" xr:uid="{B8FAD76A-6B24-43E1-9CF3-AAD81176D416}"/>
    <cellStyle name="Normal 2 4 7 7 3" xfId="10993" xr:uid="{DA83052D-5897-43DB-BFD0-BC1752E72508}"/>
    <cellStyle name="Normal 2 4 7 8" xfId="4703" xr:uid="{00000000-0005-0000-0000-0000FC100000}"/>
    <cellStyle name="Normal 2 4 7 8 2" xfId="13145" xr:uid="{A69FEC30-80F0-4A5F-B24A-C0AEE2487738}"/>
    <cellStyle name="Normal 2 4 7 9" xfId="8927" xr:uid="{0A96446D-FFFE-427E-87A8-0188CE2E70DB}"/>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534DDF10-8A2B-4A66-893E-4AA8CEAFAC2E}"/>
    <cellStyle name="Normal 2 4 8 2 2 3" xfId="11488" xr:uid="{5EC944E9-B0D4-4BBF-BA7F-33945D25FC60}"/>
    <cellStyle name="Normal 2 4 8 2 3" xfId="5119" xr:uid="{00000000-0005-0000-0000-000001110000}"/>
    <cellStyle name="Normal 2 4 8 2 3 2" xfId="13561" xr:uid="{1821AAD5-3D95-43CB-BD77-720D7F66EA73}"/>
    <cellStyle name="Normal 2 4 8 2 4" xfId="9343" xr:uid="{E62B1373-2483-4862-AEC2-3AF98164A78F}"/>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F166A011-61FD-4314-976F-1C5A79A45D70}"/>
    <cellStyle name="Normal 2 4 8 3 2 3" xfId="11901" xr:uid="{F4A71298-85CD-468C-B10F-8867723ADBEE}"/>
    <cellStyle name="Normal 2 4 8 3 3" xfId="5532" xr:uid="{00000000-0005-0000-0000-000005110000}"/>
    <cellStyle name="Normal 2 4 8 3 3 2" xfId="13974" xr:uid="{373FE674-E316-48A7-A701-6AA5D0C4F5B2}"/>
    <cellStyle name="Normal 2 4 8 3 4" xfId="9756" xr:uid="{BB850D05-7AFC-40A5-92E1-B302C4BA20A3}"/>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A750D9B4-6064-4E44-9FE0-0C7F41D1F397}"/>
    <cellStyle name="Normal 2 4 8 4 2 3" xfId="12314" xr:uid="{5F9D33B4-7F7B-41B9-882E-5D5EA9D6AE0B}"/>
    <cellStyle name="Normal 2 4 8 4 3" xfId="5945" xr:uid="{00000000-0005-0000-0000-000009110000}"/>
    <cellStyle name="Normal 2 4 8 4 3 2" xfId="14387" xr:uid="{499DCC83-DBE8-4E8B-B76E-A1B72AE1EACB}"/>
    <cellStyle name="Normal 2 4 8 4 4" xfId="10169" xr:uid="{20CD3123-CDBE-43D5-8E8D-CEDBD239DBCC}"/>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2231CE8B-297E-4706-83E0-6B0C8EA192BE}"/>
    <cellStyle name="Normal 2 4 8 5 2 3" xfId="12727" xr:uid="{B930C1C8-E97B-4278-8202-DD6A84D718E3}"/>
    <cellStyle name="Normal 2 4 8 5 3" xfId="6358" xr:uid="{00000000-0005-0000-0000-00000D110000}"/>
    <cellStyle name="Normal 2 4 8 5 3 2" xfId="14800" xr:uid="{8A0FB1EA-0914-4159-8FEE-740907A3CABA}"/>
    <cellStyle name="Normal 2 4 8 5 4" xfId="10582" xr:uid="{CB35A3F7-31A8-449F-87FE-99BA21F2E028}"/>
    <cellStyle name="Normal 2 4 8 6" xfId="2487" xr:uid="{00000000-0005-0000-0000-00000E110000}"/>
    <cellStyle name="Normal 2 4 8 6 2" xfId="6771" xr:uid="{00000000-0005-0000-0000-00000F110000}"/>
    <cellStyle name="Normal 2 4 8 6 2 2" xfId="15213" xr:uid="{982E1F52-CBCA-4767-B21E-6BB0119D99C3}"/>
    <cellStyle name="Normal 2 4 8 6 3" xfId="10995" xr:uid="{C2E05145-DCE2-4A87-BD13-7DD6A441C77A}"/>
    <cellStyle name="Normal 2 4 8 7" xfId="4705" xr:uid="{00000000-0005-0000-0000-000010110000}"/>
    <cellStyle name="Normal 2 4 8 7 2" xfId="13147" xr:uid="{20C06B17-2352-48E7-88F7-4BB8A797758C}"/>
    <cellStyle name="Normal 2 4 8 8" xfId="8929" xr:uid="{C2ACE7DB-8580-41A2-815C-B71466EB100E}"/>
    <cellStyle name="Normal 2 5" xfId="315" xr:uid="{00000000-0005-0000-0000-000011110000}"/>
    <cellStyle name="Normal 2 5 10" xfId="4706" xr:uid="{00000000-0005-0000-0000-000012110000}"/>
    <cellStyle name="Normal 2 5 10 2" xfId="13148" xr:uid="{B17F90AB-2728-43C4-80BE-EDDA8C22959D}"/>
    <cellStyle name="Normal 2 5 11" xfId="8930" xr:uid="{131B1392-8B22-4A2A-A163-8D395C4D89BC}"/>
    <cellStyle name="Normal 2 5 2" xfId="316" xr:uid="{00000000-0005-0000-0000-000013110000}"/>
    <cellStyle name="Normal 2 5 3" xfId="317" xr:uid="{00000000-0005-0000-0000-000014110000}"/>
    <cellStyle name="Normal 2 5 4" xfId="318" xr:uid="{00000000-0005-0000-0000-000015110000}"/>
    <cellStyle name="Normal 2 5 4 10" xfId="8931" xr:uid="{64F57AFC-E206-4CD7-B9F3-70ED6C9066C3}"/>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9C1AFC31-7CCC-4BBD-BEBA-E62ED8333B41}"/>
    <cellStyle name="Normal 2 5 4 2 2 2 2 3" xfId="11492" xr:uid="{DA246906-D7DD-4A87-BE88-9AF8614CA6C2}"/>
    <cellStyle name="Normal 2 5 4 2 2 2 3" xfId="5123" xr:uid="{00000000-0005-0000-0000-00001B110000}"/>
    <cellStyle name="Normal 2 5 4 2 2 2 3 2" xfId="13565" xr:uid="{7459800A-662D-47D3-B3DA-BD4EA1E5AFFD}"/>
    <cellStyle name="Normal 2 5 4 2 2 2 4" xfId="9347" xr:uid="{DFC703C0-33C9-45F5-9315-B79781750708}"/>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AD12F810-5767-4B5D-B94B-967E219136A0}"/>
    <cellStyle name="Normal 2 5 4 2 2 3 2 3" xfId="11905" xr:uid="{E755524D-800D-4D2C-8DC7-A0AF38AEAB1E}"/>
    <cellStyle name="Normal 2 5 4 2 2 3 3" xfId="5536" xr:uid="{00000000-0005-0000-0000-00001F110000}"/>
    <cellStyle name="Normal 2 5 4 2 2 3 3 2" xfId="13978" xr:uid="{1585C0E4-DEAD-45C1-8A09-3DB6E3E42416}"/>
    <cellStyle name="Normal 2 5 4 2 2 3 4" xfId="9760" xr:uid="{5C27FE7B-1527-4D48-8B60-3DE075AD007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FD53B6C5-6835-4FB1-BB57-C1AE0FA942B4}"/>
    <cellStyle name="Normal 2 5 4 2 2 4 2 3" xfId="12318" xr:uid="{16A8D0D7-0E54-4212-80CE-778E2A0DE0A3}"/>
    <cellStyle name="Normal 2 5 4 2 2 4 3" xfId="5949" xr:uid="{00000000-0005-0000-0000-000023110000}"/>
    <cellStyle name="Normal 2 5 4 2 2 4 3 2" xfId="14391" xr:uid="{88236AF7-79D1-41B3-83ED-4D60CF7E9E05}"/>
    <cellStyle name="Normal 2 5 4 2 2 4 4" xfId="10173" xr:uid="{5BA29272-521B-4163-A1C9-6E9DD0ED0A96}"/>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59B7080D-954A-4F33-ADE1-A14966D880B5}"/>
    <cellStyle name="Normal 2 5 4 2 2 5 2 3" xfId="12731" xr:uid="{CF4DDDA5-BB33-458E-8DAF-5D04A2934655}"/>
    <cellStyle name="Normal 2 5 4 2 2 5 3" xfId="6362" xr:uid="{00000000-0005-0000-0000-000027110000}"/>
    <cellStyle name="Normal 2 5 4 2 2 5 3 2" xfId="14804" xr:uid="{33713D40-B7CE-42A7-9EDE-24F3B8262BB8}"/>
    <cellStyle name="Normal 2 5 4 2 2 5 4" xfId="10586" xr:uid="{8A01117B-BC83-44D0-9068-067F73AA5B5C}"/>
    <cellStyle name="Normal 2 5 4 2 2 6" xfId="2491" xr:uid="{00000000-0005-0000-0000-000028110000}"/>
    <cellStyle name="Normal 2 5 4 2 2 6 2" xfId="6775" xr:uid="{00000000-0005-0000-0000-000029110000}"/>
    <cellStyle name="Normal 2 5 4 2 2 6 2 2" xfId="15217" xr:uid="{8F4869F7-A140-4038-96DD-DB20FFCD4EE6}"/>
    <cellStyle name="Normal 2 5 4 2 2 6 3" xfId="10999" xr:uid="{CA479363-F752-4C0A-AABB-6DE034E4B862}"/>
    <cellStyle name="Normal 2 5 4 2 2 7" xfId="4709" xr:uid="{00000000-0005-0000-0000-00002A110000}"/>
    <cellStyle name="Normal 2 5 4 2 2 7 2" xfId="13151" xr:uid="{0B3320EA-B118-4BD3-AE9D-F0E00414C841}"/>
    <cellStyle name="Normal 2 5 4 2 2 8" xfId="8933" xr:uid="{E8F68A05-C10B-4635-B164-0FE168031449}"/>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62A0B39D-CAC3-4DD2-8FD9-4BB11BF24915}"/>
    <cellStyle name="Normal 2 5 4 2 3 2 3" xfId="11491" xr:uid="{0EFC528A-8AF5-4F4C-B6BB-2F2FEAB954BA}"/>
    <cellStyle name="Normal 2 5 4 2 3 3" xfId="5122" xr:uid="{00000000-0005-0000-0000-00002E110000}"/>
    <cellStyle name="Normal 2 5 4 2 3 3 2" xfId="13564" xr:uid="{20096A2D-32AF-4495-908B-CA03134A87DC}"/>
    <cellStyle name="Normal 2 5 4 2 3 4" xfId="9346" xr:uid="{7A7B0CAC-2256-447C-86E4-477912C553C7}"/>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23D05D4F-7C6D-4186-B9C5-20166FF95F70}"/>
    <cellStyle name="Normal 2 5 4 2 4 2 3" xfId="11904" xr:uid="{5663A60A-900F-450C-8098-48F7F1B48898}"/>
    <cellStyle name="Normal 2 5 4 2 4 3" xfId="5535" xr:uid="{00000000-0005-0000-0000-000032110000}"/>
    <cellStyle name="Normal 2 5 4 2 4 3 2" xfId="13977" xr:uid="{551A7EAE-54CE-4731-B558-C8D77B6CA9FE}"/>
    <cellStyle name="Normal 2 5 4 2 4 4" xfId="9759" xr:uid="{CFD19B64-13D7-4E69-B31C-899787E5DAF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30047686-6042-4193-B577-101C32FC36DE}"/>
    <cellStyle name="Normal 2 5 4 2 5 2 3" xfId="12317" xr:uid="{761BE01B-AA47-436C-A554-907CA56AE04B}"/>
    <cellStyle name="Normal 2 5 4 2 5 3" xfId="5948" xr:uid="{00000000-0005-0000-0000-000036110000}"/>
    <cellStyle name="Normal 2 5 4 2 5 3 2" xfId="14390" xr:uid="{FD9114D1-C943-4D8E-971C-C4E40AC0F47E}"/>
    <cellStyle name="Normal 2 5 4 2 5 4" xfId="10172" xr:uid="{F20165A6-931B-4C13-B34D-AE3BA01F9093}"/>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F33D514C-B648-4B46-9DBC-2D501B32EDEE}"/>
    <cellStyle name="Normal 2 5 4 2 6 2 3" xfId="12730" xr:uid="{CD9A4EE1-2814-4333-BFEB-4742645630D7}"/>
    <cellStyle name="Normal 2 5 4 2 6 3" xfId="6361" xr:uid="{00000000-0005-0000-0000-00003A110000}"/>
    <cellStyle name="Normal 2 5 4 2 6 3 2" xfId="14803" xr:uid="{11D11211-6402-4867-88A4-6C9212BB1A60}"/>
    <cellStyle name="Normal 2 5 4 2 6 4" xfId="10585" xr:uid="{7E728A97-0F25-4CC6-AC32-1003D7A53327}"/>
    <cellStyle name="Normal 2 5 4 2 7" xfId="2490" xr:uid="{00000000-0005-0000-0000-00003B110000}"/>
    <cellStyle name="Normal 2 5 4 2 7 2" xfId="6774" xr:uid="{00000000-0005-0000-0000-00003C110000}"/>
    <cellStyle name="Normal 2 5 4 2 7 2 2" xfId="15216" xr:uid="{82D5696A-791B-4363-8B7F-E59DA2074CEB}"/>
    <cellStyle name="Normal 2 5 4 2 7 3" xfId="10998" xr:uid="{C6417E63-8504-4B91-9BF0-3CA1700B1360}"/>
    <cellStyle name="Normal 2 5 4 2 8" xfId="4708" xr:uid="{00000000-0005-0000-0000-00003D110000}"/>
    <cellStyle name="Normal 2 5 4 2 8 2" xfId="13150" xr:uid="{1D53A4E4-616D-4380-B5DC-599EE3E05D7B}"/>
    <cellStyle name="Normal 2 5 4 2 9" xfId="8932" xr:uid="{3F83F821-7BF4-44B9-B872-07A77B427D09}"/>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0EEA64B7-E421-47E9-89A4-08C78E7AB92E}"/>
    <cellStyle name="Normal 2 5 4 3 2 2 3" xfId="11493" xr:uid="{225359F3-25F1-47B9-894B-905B2AD0E047}"/>
    <cellStyle name="Normal 2 5 4 3 2 3" xfId="5124" xr:uid="{00000000-0005-0000-0000-000042110000}"/>
    <cellStyle name="Normal 2 5 4 3 2 3 2" xfId="13566" xr:uid="{4F139007-8A7A-4662-B608-3CC51D8855EA}"/>
    <cellStyle name="Normal 2 5 4 3 2 4" xfId="9348" xr:uid="{0B80EA83-A5EB-45F1-98D3-676E0B00536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67C87B24-0668-44E1-8F25-3BF26CE95E1D}"/>
    <cellStyle name="Normal 2 5 4 3 3 2 3" xfId="11906" xr:uid="{F8BF386C-35A3-4BF9-AA16-13492EC883D9}"/>
    <cellStyle name="Normal 2 5 4 3 3 3" xfId="5537" xr:uid="{00000000-0005-0000-0000-000046110000}"/>
    <cellStyle name="Normal 2 5 4 3 3 3 2" xfId="13979" xr:uid="{4CE043F7-7149-4BDF-8EDF-F74696904BD3}"/>
    <cellStyle name="Normal 2 5 4 3 3 4" xfId="9761" xr:uid="{F1DCC177-5AC1-43F3-AD79-49D1B5669F2A}"/>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ED7DF85A-F574-4959-947A-88146A8AB5ED}"/>
    <cellStyle name="Normal 2 5 4 3 4 2 3" xfId="12319" xr:uid="{C8117E68-AF91-431F-87D7-50917C811144}"/>
    <cellStyle name="Normal 2 5 4 3 4 3" xfId="5950" xr:uid="{00000000-0005-0000-0000-00004A110000}"/>
    <cellStyle name="Normal 2 5 4 3 4 3 2" xfId="14392" xr:uid="{2A3A3950-0214-482B-A568-6B4033044C27}"/>
    <cellStyle name="Normal 2 5 4 3 4 4" xfId="10174" xr:uid="{63C2092E-3D67-40F6-9C93-7992F95EC7FD}"/>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09776643-93D5-4F27-BF43-60815B9CE1E8}"/>
    <cellStyle name="Normal 2 5 4 3 5 2 3" xfId="12732" xr:uid="{689C1937-B337-486C-8D4F-581E88C8184A}"/>
    <cellStyle name="Normal 2 5 4 3 5 3" xfId="6363" xr:uid="{00000000-0005-0000-0000-00004E110000}"/>
    <cellStyle name="Normal 2 5 4 3 5 3 2" xfId="14805" xr:uid="{3F6A651F-E59D-4C01-B658-8E61011CC4CF}"/>
    <cellStyle name="Normal 2 5 4 3 5 4" xfId="10587" xr:uid="{87B15A3D-2506-465E-A1F9-FBC6628AD54D}"/>
    <cellStyle name="Normal 2 5 4 3 6" xfId="2492" xr:uid="{00000000-0005-0000-0000-00004F110000}"/>
    <cellStyle name="Normal 2 5 4 3 6 2" xfId="6776" xr:uid="{00000000-0005-0000-0000-000050110000}"/>
    <cellStyle name="Normal 2 5 4 3 6 2 2" xfId="15218" xr:uid="{E24CC9CF-F8A4-4CC3-86DA-A43E6419A7A0}"/>
    <cellStyle name="Normal 2 5 4 3 6 3" xfId="11000" xr:uid="{8AB81693-0D73-4CE0-9F5F-7346AC6669BB}"/>
    <cellStyle name="Normal 2 5 4 3 7" xfId="4710" xr:uid="{00000000-0005-0000-0000-000051110000}"/>
    <cellStyle name="Normal 2 5 4 3 7 2" xfId="13152" xr:uid="{EA1D44D9-FBF8-4CD6-9883-A44BC857434D}"/>
    <cellStyle name="Normal 2 5 4 3 8" xfId="8934" xr:uid="{88584254-7431-49BB-BBFD-7CFC824375F1}"/>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33827114-B680-49B8-A19C-F5135F68CD3D}"/>
    <cellStyle name="Normal 2 5 4 4 2 3" xfId="11490" xr:uid="{D7C6C829-5F51-4D29-B307-5B5CF3BD44E6}"/>
    <cellStyle name="Normal 2 5 4 4 3" xfId="5121" xr:uid="{00000000-0005-0000-0000-000055110000}"/>
    <cellStyle name="Normal 2 5 4 4 3 2" xfId="13563" xr:uid="{5F49F4D4-BA7F-44CC-9EC1-51494F58D202}"/>
    <cellStyle name="Normal 2 5 4 4 4" xfId="9345" xr:uid="{E62C6773-2060-4BDE-A524-EE82877E0ED6}"/>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DF4478F2-BF10-4289-BC77-677C250F3EDB}"/>
    <cellStyle name="Normal 2 5 4 5 2 3" xfId="11903" xr:uid="{CAA29914-2851-4100-8DB4-673C1F62229C}"/>
    <cellStyle name="Normal 2 5 4 5 3" xfId="5534" xr:uid="{00000000-0005-0000-0000-000059110000}"/>
    <cellStyle name="Normal 2 5 4 5 3 2" xfId="13976" xr:uid="{A890130F-E7A6-4221-88D3-055D0A0F8DA5}"/>
    <cellStyle name="Normal 2 5 4 5 4" xfId="9758" xr:uid="{1327E06E-87BE-41BB-B5DE-CC56CA5D37D3}"/>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02DE944B-7BB7-4BA8-B594-A4A2F2A30313}"/>
    <cellStyle name="Normal 2 5 4 6 2 3" xfId="12316" xr:uid="{D4E23978-ED13-4DC8-8442-4BA5961D0452}"/>
    <cellStyle name="Normal 2 5 4 6 3" xfId="5947" xr:uid="{00000000-0005-0000-0000-00005D110000}"/>
    <cellStyle name="Normal 2 5 4 6 3 2" xfId="14389" xr:uid="{D518BA13-F205-4B7C-917C-CD6F6F67BA8E}"/>
    <cellStyle name="Normal 2 5 4 6 4" xfId="10171" xr:uid="{347A9E70-4D17-4E3F-8781-FB11574ED47E}"/>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0B5A0B80-4896-4141-B51E-1159550C270A}"/>
    <cellStyle name="Normal 2 5 4 7 2 3" xfId="12729" xr:uid="{7B921441-8364-4887-BAA0-3BE83347D3C7}"/>
    <cellStyle name="Normal 2 5 4 7 3" xfId="6360" xr:uid="{00000000-0005-0000-0000-000061110000}"/>
    <cellStyle name="Normal 2 5 4 7 3 2" xfId="14802" xr:uid="{35B4B8CD-901C-4C4E-BEBC-7C49E7B28541}"/>
    <cellStyle name="Normal 2 5 4 7 4" xfId="10584" xr:uid="{468FCAE0-9A49-4E0A-8045-0C44D377F8B3}"/>
    <cellStyle name="Normal 2 5 4 8" xfId="2489" xr:uid="{00000000-0005-0000-0000-000062110000}"/>
    <cellStyle name="Normal 2 5 4 8 2" xfId="6773" xr:uid="{00000000-0005-0000-0000-000063110000}"/>
    <cellStyle name="Normal 2 5 4 8 2 2" xfId="15215" xr:uid="{852729D5-6CCE-40A1-ADD2-70899D595B70}"/>
    <cellStyle name="Normal 2 5 4 8 3" xfId="10997" xr:uid="{A9D29E59-CC36-43ED-A503-0B9932407EC8}"/>
    <cellStyle name="Normal 2 5 4 9" xfId="4707" xr:uid="{00000000-0005-0000-0000-000064110000}"/>
    <cellStyle name="Normal 2 5 4 9 2" xfId="13149" xr:uid="{8FD29EC6-2272-41EC-B380-F73E1D3FEDDB}"/>
    <cellStyle name="Normal 2 5 5" xfId="803" xr:uid="{00000000-0005-0000-0000-000065110000}"/>
    <cellStyle name="Normal 2 5 5 2" xfId="3042" xr:uid="{00000000-0005-0000-0000-000066110000}"/>
    <cellStyle name="Normal 2 5 5 2 2" xfId="7265" xr:uid="{00000000-0005-0000-0000-000067110000}"/>
    <cellStyle name="Normal 2 5 5 2 2 2" xfId="15707" xr:uid="{03867EC8-D91D-4F0E-93DB-93A759EFDB2D}"/>
    <cellStyle name="Normal 2 5 5 2 3" xfId="11489" xr:uid="{84165B28-B2E2-461E-B213-94B1E40522CF}"/>
    <cellStyle name="Normal 2 5 5 3" xfId="5120" xr:uid="{00000000-0005-0000-0000-000068110000}"/>
    <cellStyle name="Normal 2 5 5 3 2" xfId="13562" xr:uid="{07031A9E-847F-46BB-83C0-EC67339254C7}"/>
    <cellStyle name="Normal 2 5 5 4" xfId="9344" xr:uid="{A2F2DC36-7935-401C-8D99-F59915AC3692}"/>
    <cellStyle name="Normal 2 5 6" xfId="1225" xr:uid="{00000000-0005-0000-0000-000069110000}"/>
    <cellStyle name="Normal 2 5 6 2" xfId="3455" xr:uid="{00000000-0005-0000-0000-00006A110000}"/>
    <cellStyle name="Normal 2 5 6 2 2" xfId="7678" xr:uid="{00000000-0005-0000-0000-00006B110000}"/>
    <cellStyle name="Normal 2 5 6 2 2 2" xfId="16120" xr:uid="{D469846E-5BCD-44E5-B661-E5A68CAEF39F}"/>
    <cellStyle name="Normal 2 5 6 2 3" xfId="11902" xr:uid="{8AB0D7EF-C564-4F50-9AC2-2032453B0CD8}"/>
    <cellStyle name="Normal 2 5 6 3" xfId="5533" xr:uid="{00000000-0005-0000-0000-00006C110000}"/>
    <cellStyle name="Normal 2 5 6 3 2" xfId="13975" xr:uid="{7182AFF1-7AC2-4F99-8435-67CB7EC7485E}"/>
    <cellStyle name="Normal 2 5 6 4" xfId="9757" xr:uid="{E35453EB-0BCA-42B5-8C45-AAD9464BABF0}"/>
    <cellStyle name="Normal 2 5 7" xfId="1638" xr:uid="{00000000-0005-0000-0000-00006D110000}"/>
    <cellStyle name="Normal 2 5 7 2" xfId="3868" xr:uid="{00000000-0005-0000-0000-00006E110000}"/>
    <cellStyle name="Normal 2 5 7 2 2" xfId="8091" xr:uid="{00000000-0005-0000-0000-00006F110000}"/>
    <cellStyle name="Normal 2 5 7 2 2 2" xfId="16533" xr:uid="{52517899-E470-437D-A139-26AB10008100}"/>
    <cellStyle name="Normal 2 5 7 2 3" xfId="12315" xr:uid="{9A31FDAA-8AA5-45F5-8ED7-B25CE0F93576}"/>
    <cellStyle name="Normal 2 5 7 3" xfId="5946" xr:uid="{00000000-0005-0000-0000-000070110000}"/>
    <cellStyle name="Normal 2 5 7 3 2" xfId="14388" xr:uid="{906A39C6-49F6-4BDF-8C5A-A5202620DFA3}"/>
    <cellStyle name="Normal 2 5 7 4" xfId="10170" xr:uid="{1E419E0F-E392-44E3-85C3-92CEA3EC7C9F}"/>
    <cellStyle name="Normal 2 5 8" xfId="2052" xr:uid="{00000000-0005-0000-0000-000071110000}"/>
    <cellStyle name="Normal 2 5 8 2" xfId="4281" xr:uid="{00000000-0005-0000-0000-000072110000}"/>
    <cellStyle name="Normal 2 5 8 2 2" xfId="8504" xr:uid="{00000000-0005-0000-0000-000073110000}"/>
    <cellStyle name="Normal 2 5 8 2 2 2" xfId="16946" xr:uid="{450AA084-2EF1-46BF-871F-BCF0A1D22B85}"/>
    <cellStyle name="Normal 2 5 8 2 3" xfId="12728" xr:uid="{6BEC5519-561D-490A-85E4-7D6962C0D47A}"/>
    <cellStyle name="Normal 2 5 8 3" xfId="6359" xr:uid="{00000000-0005-0000-0000-000074110000}"/>
    <cellStyle name="Normal 2 5 8 3 2" xfId="14801" xr:uid="{754F3FA0-5B50-4062-8842-07C952A4ECA7}"/>
    <cellStyle name="Normal 2 5 8 4" xfId="10583" xr:uid="{05013974-693D-4C7F-AB95-64AD04B9C7A9}"/>
    <cellStyle name="Normal 2 5 9" xfId="2488" xr:uid="{00000000-0005-0000-0000-000075110000}"/>
    <cellStyle name="Normal 2 5 9 2" xfId="6772" xr:uid="{00000000-0005-0000-0000-000076110000}"/>
    <cellStyle name="Normal 2 5 9 2 2" xfId="15214" xr:uid="{771E8D55-27B1-4476-943B-2CEECF5DC351}"/>
    <cellStyle name="Normal 2 5 9 3" xfId="10996" xr:uid="{9E60AC4D-5976-4FC0-B47C-A9E27325EE57}"/>
    <cellStyle name="Normal 2 6" xfId="322" xr:uid="{00000000-0005-0000-0000-000077110000}"/>
    <cellStyle name="Normal 2 7" xfId="769" xr:uid="{00000000-0005-0000-0000-000078110000}"/>
    <cellStyle name="Normal 2 8" xfId="4495" xr:uid="{00000000-0005-0000-0000-000079110000}"/>
    <cellStyle name="Normal 2 8 2" xfId="12940" xr:uid="{DBF8DF00-6862-4C94-8BF8-774492E029C5}"/>
    <cellStyle name="Normal 3" xfId="323" xr:uid="{00000000-0005-0000-0000-00007A110000}"/>
    <cellStyle name="Normal 3 2" xfId="324" xr:uid="{00000000-0005-0000-0000-00007B110000}"/>
    <cellStyle name="Normal 3 2 10" xfId="8935" xr:uid="{AC7705A0-FFE2-4314-A617-AB5A26543B01}"/>
    <cellStyle name="Normal 3 2 2" xfId="325" xr:uid="{00000000-0005-0000-0000-00007C110000}"/>
    <cellStyle name="Normal 3 2 2 2" xfId="810" xr:uid="{00000000-0005-0000-0000-00007D110000}"/>
    <cellStyle name="Normal 3 2 3" xfId="326" xr:uid="{00000000-0005-0000-0000-00007E110000}"/>
    <cellStyle name="Normal 3 2 3 10" xfId="8936" xr:uid="{54FBA842-5E49-4843-81E2-D28F3ECD1927}"/>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FEB45F03-31B8-4462-86A2-BDEEA00E90DC}"/>
    <cellStyle name="Normal 3 2 3 2 2 2 2 3" xfId="11497" xr:uid="{3FE49EAC-1ED5-42F7-B7E0-51F5F2C938A6}"/>
    <cellStyle name="Normal 3 2 3 2 2 2 3" xfId="5128" xr:uid="{00000000-0005-0000-0000-000084110000}"/>
    <cellStyle name="Normal 3 2 3 2 2 2 3 2" xfId="13570" xr:uid="{22D8C930-A823-415D-9738-426B66D6508E}"/>
    <cellStyle name="Normal 3 2 3 2 2 2 4" xfId="9352" xr:uid="{27314FD5-1174-41FD-B99D-55A5B11C6623}"/>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EAAD863-4980-4E8C-ABFA-D4D26D19DC7A}"/>
    <cellStyle name="Normal 3 2 3 2 2 3 2 3" xfId="11910" xr:uid="{B229F21E-9086-4049-891E-C74E45F55215}"/>
    <cellStyle name="Normal 3 2 3 2 2 3 3" xfId="5541" xr:uid="{00000000-0005-0000-0000-000088110000}"/>
    <cellStyle name="Normal 3 2 3 2 2 3 3 2" xfId="13983" xr:uid="{D6877F3A-C74B-4D6E-B63F-A08BF7898984}"/>
    <cellStyle name="Normal 3 2 3 2 2 3 4" xfId="9765" xr:uid="{3888AC31-232A-4ED4-ADFE-B9AC8F35F37A}"/>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026364C3-698D-4C38-A173-1252E79F63D3}"/>
    <cellStyle name="Normal 3 2 3 2 2 4 2 3" xfId="12323" xr:uid="{24B262D4-E2C8-48FB-9BAE-EE8319508EB1}"/>
    <cellStyle name="Normal 3 2 3 2 2 4 3" xfId="5954" xr:uid="{00000000-0005-0000-0000-00008C110000}"/>
    <cellStyle name="Normal 3 2 3 2 2 4 3 2" xfId="14396" xr:uid="{0CB12682-A692-4F44-B463-6A4753AF00EE}"/>
    <cellStyle name="Normal 3 2 3 2 2 4 4" xfId="10178" xr:uid="{E0C90B4A-85AB-480B-9317-93BD16D0A89F}"/>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0B590F9A-C88A-4E9F-9BC6-8CFB5764C92B}"/>
    <cellStyle name="Normal 3 2 3 2 2 5 2 3" xfId="12736" xr:uid="{672493E4-9AB7-4209-BB73-43F44394BE0C}"/>
    <cellStyle name="Normal 3 2 3 2 2 5 3" xfId="6367" xr:uid="{00000000-0005-0000-0000-000090110000}"/>
    <cellStyle name="Normal 3 2 3 2 2 5 3 2" xfId="14809" xr:uid="{86B63C40-F793-4A1F-BCE0-11830D51D859}"/>
    <cellStyle name="Normal 3 2 3 2 2 5 4" xfId="10591" xr:uid="{B6BBA7D3-2ED2-43FD-AD0D-DE2B1E3E8673}"/>
    <cellStyle name="Normal 3 2 3 2 2 6" xfId="2496" xr:uid="{00000000-0005-0000-0000-000091110000}"/>
    <cellStyle name="Normal 3 2 3 2 2 6 2" xfId="6780" xr:uid="{00000000-0005-0000-0000-000092110000}"/>
    <cellStyle name="Normal 3 2 3 2 2 6 2 2" xfId="15222" xr:uid="{5B7C7D4A-3ABD-43E4-BA2D-2352CD3C53E5}"/>
    <cellStyle name="Normal 3 2 3 2 2 6 3" xfId="11004" xr:uid="{C382BE10-D446-4795-A0F8-C693CE0F3806}"/>
    <cellStyle name="Normal 3 2 3 2 2 7" xfId="4714" xr:uid="{00000000-0005-0000-0000-000093110000}"/>
    <cellStyle name="Normal 3 2 3 2 2 7 2" xfId="13156" xr:uid="{E6B08CE5-4A74-4467-93DA-A9D962DB27AC}"/>
    <cellStyle name="Normal 3 2 3 2 2 8" xfId="8938" xr:uid="{94372A5B-A720-4AAB-B2DE-94C9EF403EA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7FEDEE66-5177-4BF3-BD24-F78A6ECC7771}"/>
    <cellStyle name="Normal 3 2 3 2 3 2 3" xfId="11496" xr:uid="{882F9AD1-1C6B-4689-911F-980DE14A391D}"/>
    <cellStyle name="Normal 3 2 3 2 3 3" xfId="5127" xr:uid="{00000000-0005-0000-0000-000097110000}"/>
    <cellStyle name="Normal 3 2 3 2 3 3 2" xfId="13569" xr:uid="{B6A562AA-57E2-461E-94F0-E65DFDA1B55D}"/>
    <cellStyle name="Normal 3 2 3 2 3 4" xfId="9351" xr:uid="{EF0B8F26-8CE1-4CBD-B738-B67D63892B43}"/>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DE537AEB-C581-4B8C-826A-E6E22ADD1960}"/>
    <cellStyle name="Normal 3 2 3 2 4 2 3" xfId="11909" xr:uid="{4135D42E-8843-4D7D-8379-939CDDEEBA58}"/>
    <cellStyle name="Normal 3 2 3 2 4 3" xfId="5540" xr:uid="{00000000-0005-0000-0000-00009B110000}"/>
    <cellStyle name="Normal 3 2 3 2 4 3 2" xfId="13982" xr:uid="{DDA32B37-6FB7-420F-8C3D-0EA315F63BA6}"/>
    <cellStyle name="Normal 3 2 3 2 4 4" xfId="9764" xr:uid="{20414561-63CC-4AC5-84C8-498D196950CB}"/>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143305AE-477C-4DB6-B12B-58107794C12F}"/>
    <cellStyle name="Normal 3 2 3 2 5 2 3" xfId="12322" xr:uid="{77C53DA9-FFCE-486C-9585-DDEEE7BDAAA2}"/>
    <cellStyle name="Normal 3 2 3 2 5 3" xfId="5953" xr:uid="{00000000-0005-0000-0000-00009F110000}"/>
    <cellStyle name="Normal 3 2 3 2 5 3 2" xfId="14395" xr:uid="{E0A96107-DA81-4F04-9223-206824104006}"/>
    <cellStyle name="Normal 3 2 3 2 5 4" xfId="10177" xr:uid="{AF5C424A-54F3-4579-B685-88347FE359F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E5A3C636-EF6E-4D3A-B794-1020FE966455}"/>
    <cellStyle name="Normal 3 2 3 2 6 2 3" xfId="12735" xr:uid="{10F21987-B190-4040-BE9B-8015E2B6A67B}"/>
    <cellStyle name="Normal 3 2 3 2 6 3" xfId="6366" xr:uid="{00000000-0005-0000-0000-0000A3110000}"/>
    <cellStyle name="Normal 3 2 3 2 6 3 2" xfId="14808" xr:uid="{2DE17851-9D52-4BC0-BEDC-5B89894C7195}"/>
    <cellStyle name="Normal 3 2 3 2 6 4" xfId="10590" xr:uid="{09A798CB-25C2-426E-965A-DEE80671B5B0}"/>
    <cellStyle name="Normal 3 2 3 2 7" xfId="2495" xr:uid="{00000000-0005-0000-0000-0000A4110000}"/>
    <cellStyle name="Normal 3 2 3 2 7 2" xfId="6779" xr:uid="{00000000-0005-0000-0000-0000A5110000}"/>
    <cellStyle name="Normal 3 2 3 2 7 2 2" xfId="15221" xr:uid="{ED9B11FB-EC8D-4A06-828E-D2D2B0CFB22D}"/>
    <cellStyle name="Normal 3 2 3 2 7 3" xfId="11003" xr:uid="{F8291084-CFCE-44D8-8AB2-DF98D25F0A6C}"/>
    <cellStyle name="Normal 3 2 3 2 8" xfId="4713" xr:uid="{00000000-0005-0000-0000-0000A6110000}"/>
    <cellStyle name="Normal 3 2 3 2 8 2" xfId="13155" xr:uid="{89B3C56D-6731-41F0-8AB1-56770F15F2A2}"/>
    <cellStyle name="Normal 3 2 3 2 9" xfId="8937" xr:uid="{5894EF19-A8B5-4004-98F5-E521CA812719}"/>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A08E188A-DDC6-4DBA-B968-E6EEA96A88D4}"/>
    <cellStyle name="Normal 3 2 3 3 2 2 3" xfId="11498" xr:uid="{9A487DE3-2DA5-44BE-A865-3FF2A151FCB6}"/>
    <cellStyle name="Normal 3 2 3 3 2 3" xfId="5129" xr:uid="{00000000-0005-0000-0000-0000AB110000}"/>
    <cellStyle name="Normal 3 2 3 3 2 3 2" xfId="13571" xr:uid="{0EBF9F46-CE6C-4330-AFFB-D09C02C2D092}"/>
    <cellStyle name="Normal 3 2 3 3 2 4" xfId="9353" xr:uid="{02876AE7-5285-4196-B682-9BE84684EE43}"/>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73DB54BA-11A7-4A57-A89A-CCBFA707E9FE}"/>
    <cellStyle name="Normal 3 2 3 3 3 2 3" xfId="11911" xr:uid="{8A426A72-3183-4167-BC8E-B993BEA6C26E}"/>
    <cellStyle name="Normal 3 2 3 3 3 3" xfId="5542" xr:uid="{00000000-0005-0000-0000-0000AF110000}"/>
    <cellStyle name="Normal 3 2 3 3 3 3 2" xfId="13984" xr:uid="{89203AA7-63A0-4CB4-8148-73B0880F19E6}"/>
    <cellStyle name="Normal 3 2 3 3 3 4" xfId="9766" xr:uid="{4B193673-A7FE-4B5E-8400-78C8FD02ABEA}"/>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E666E5FB-E91E-43AF-BAE4-8CA716468DAE}"/>
    <cellStyle name="Normal 3 2 3 3 4 2 3" xfId="12324" xr:uid="{B81C4A1F-C401-4543-9FBB-2C16EDD06F71}"/>
    <cellStyle name="Normal 3 2 3 3 4 3" xfId="5955" xr:uid="{00000000-0005-0000-0000-0000B3110000}"/>
    <cellStyle name="Normal 3 2 3 3 4 3 2" xfId="14397" xr:uid="{FB8C13CE-54AA-42F9-8E07-3E4ED10325A8}"/>
    <cellStyle name="Normal 3 2 3 3 4 4" xfId="10179" xr:uid="{0D3BF424-58E0-44A7-A4DA-7A8C4EC117A9}"/>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DDDAFC41-885D-432C-9F03-82AE39CA89F3}"/>
    <cellStyle name="Normal 3 2 3 3 5 2 3" xfId="12737" xr:uid="{0E0738AD-1EA1-4C00-B039-D64ED968A8D9}"/>
    <cellStyle name="Normal 3 2 3 3 5 3" xfId="6368" xr:uid="{00000000-0005-0000-0000-0000B7110000}"/>
    <cellStyle name="Normal 3 2 3 3 5 3 2" xfId="14810" xr:uid="{B3A6068D-F8AF-490D-B35B-86985939E649}"/>
    <cellStyle name="Normal 3 2 3 3 5 4" xfId="10592" xr:uid="{EAF3073B-A122-403D-A4B9-622E756B3215}"/>
    <cellStyle name="Normal 3 2 3 3 6" xfId="2497" xr:uid="{00000000-0005-0000-0000-0000B8110000}"/>
    <cellStyle name="Normal 3 2 3 3 6 2" xfId="6781" xr:uid="{00000000-0005-0000-0000-0000B9110000}"/>
    <cellStyle name="Normal 3 2 3 3 6 2 2" xfId="15223" xr:uid="{682B02AD-F967-4241-8EBC-223E3145AA8D}"/>
    <cellStyle name="Normal 3 2 3 3 6 3" xfId="11005" xr:uid="{E5ED05E6-EA1F-4CB6-9430-35AE472BD029}"/>
    <cellStyle name="Normal 3 2 3 3 7" xfId="4715" xr:uid="{00000000-0005-0000-0000-0000BA110000}"/>
    <cellStyle name="Normal 3 2 3 3 7 2" xfId="13157" xr:uid="{39D4A9CF-6F32-4606-90FC-119308842054}"/>
    <cellStyle name="Normal 3 2 3 3 8" xfId="8939" xr:uid="{BEC1EB05-E548-4B6D-B3E3-94FB0EB05C43}"/>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1BD99886-F8C2-43B3-BE55-594D01F6AD02}"/>
    <cellStyle name="Normal 3 2 3 4 2 3" xfId="11495" xr:uid="{0EDA6005-06EB-4225-9DE5-0939F9C0F1CF}"/>
    <cellStyle name="Normal 3 2 3 4 3" xfId="5126" xr:uid="{00000000-0005-0000-0000-0000BE110000}"/>
    <cellStyle name="Normal 3 2 3 4 3 2" xfId="13568" xr:uid="{3DCB6501-6C1D-4CB4-9670-88859819D190}"/>
    <cellStyle name="Normal 3 2 3 4 4" xfId="9350" xr:uid="{80D56FD1-3929-44C7-9B1A-0B741424A87A}"/>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FD634960-E029-4018-9F08-6B657D8564AD}"/>
    <cellStyle name="Normal 3 2 3 5 2 3" xfId="11908" xr:uid="{0F8877AE-562E-4B0D-9082-E20D090B2F10}"/>
    <cellStyle name="Normal 3 2 3 5 3" xfId="5539" xr:uid="{00000000-0005-0000-0000-0000C2110000}"/>
    <cellStyle name="Normal 3 2 3 5 3 2" xfId="13981" xr:uid="{87840B73-DB5C-47F5-B87C-809895DACD75}"/>
    <cellStyle name="Normal 3 2 3 5 4" xfId="9763" xr:uid="{20EEDE7D-56D9-435C-9550-80B8297CEE89}"/>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AD5AAD40-2A9F-441F-AFBA-4A65EDF2F430}"/>
    <cellStyle name="Normal 3 2 3 6 2 3" xfId="12321" xr:uid="{BCD93F94-4A8F-487A-BD75-63979FC992DE}"/>
    <cellStyle name="Normal 3 2 3 6 3" xfId="5952" xr:uid="{00000000-0005-0000-0000-0000C6110000}"/>
    <cellStyle name="Normal 3 2 3 6 3 2" xfId="14394" xr:uid="{2F75E906-FC17-4B03-B5B6-3122DA9AF9DD}"/>
    <cellStyle name="Normal 3 2 3 6 4" xfId="10176" xr:uid="{4BDEBD67-6085-4513-A99E-A01A39FBD23E}"/>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2BA6057A-C56D-4310-A87D-7F9E998A9A46}"/>
    <cellStyle name="Normal 3 2 3 7 2 3" xfId="12734" xr:uid="{B82D5390-4B75-4273-9E2E-1035B351CFA1}"/>
    <cellStyle name="Normal 3 2 3 7 3" xfId="6365" xr:uid="{00000000-0005-0000-0000-0000CA110000}"/>
    <cellStyle name="Normal 3 2 3 7 3 2" xfId="14807" xr:uid="{F5A73BE2-2F98-453C-8900-896C2FBD243C}"/>
    <cellStyle name="Normal 3 2 3 7 4" xfId="10589" xr:uid="{FA4E08C8-59CE-47A4-8CB7-8B097826B468}"/>
    <cellStyle name="Normal 3 2 3 8" xfId="2494" xr:uid="{00000000-0005-0000-0000-0000CB110000}"/>
    <cellStyle name="Normal 3 2 3 8 2" xfId="6778" xr:uid="{00000000-0005-0000-0000-0000CC110000}"/>
    <cellStyle name="Normal 3 2 3 8 2 2" xfId="15220" xr:uid="{B4D8DA09-C102-4239-9B5C-E39CDF0CAA15}"/>
    <cellStyle name="Normal 3 2 3 8 3" xfId="11002" xr:uid="{5EE4F76D-55A1-475C-877D-B46D52CA9B5C}"/>
    <cellStyle name="Normal 3 2 3 9" xfId="4712" xr:uid="{00000000-0005-0000-0000-0000CD110000}"/>
    <cellStyle name="Normal 3 2 3 9 2" xfId="13154" xr:uid="{50F9BF67-C4D0-480F-9430-48C43AC6C949}"/>
    <cellStyle name="Normal 3 2 4" xfId="809" xr:uid="{00000000-0005-0000-0000-0000CE110000}"/>
    <cellStyle name="Normal 3 2 4 2" xfId="3047" xr:uid="{00000000-0005-0000-0000-0000CF110000}"/>
    <cellStyle name="Normal 3 2 4 2 2" xfId="7270" xr:uid="{00000000-0005-0000-0000-0000D0110000}"/>
    <cellStyle name="Normal 3 2 4 2 2 2" xfId="15712" xr:uid="{187113E1-BC6B-4425-B545-829D42E7A639}"/>
    <cellStyle name="Normal 3 2 4 2 3" xfId="11494" xr:uid="{A3D3B686-1361-4327-A44C-E70D89A6DDA5}"/>
    <cellStyle name="Normal 3 2 4 3" xfId="5125" xr:uid="{00000000-0005-0000-0000-0000D1110000}"/>
    <cellStyle name="Normal 3 2 4 3 2" xfId="13567" xr:uid="{32CE5B52-8378-454B-A57B-B7E60532F88B}"/>
    <cellStyle name="Normal 3 2 4 4" xfId="9349" xr:uid="{EAFA58EF-D7C1-4BC8-B40E-6E4695497B65}"/>
    <cellStyle name="Normal 3 2 5" xfId="1230" xr:uid="{00000000-0005-0000-0000-0000D2110000}"/>
    <cellStyle name="Normal 3 2 5 2" xfId="3460" xr:uid="{00000000-0005-0000-0000-0000D3110000}"/>
    <cellStyle name="Normal 3 2 5 2 2" xfId="7683" xr:uid="{00000000-0005-0000-0000-0000D4110000}"/>
    <cellStyle name="Normal 3 2 5 2 2 2" xfId="16125" xr:uid="{603029E8-093C-4245-AD83-A08B479230E7}"/>
    <cellStyle name="Normal 3 2 5 2 3" xfId="11907" xr:uid="{33F6F243-F0CF-4E11-97F2-174ACED3C0B1}"/>
    <cellStyle name="Normal 3 2 5 3" xfId="5538" xr:uid="{00000000-0005-0000-0000-0000D5110000}"/>
    <cellStyle name="Normal 3 2 5 3 2" xfId="13980" xr:uid="{01CF1105-C545-42A3-940A-CB4F1DA9AEC0}"/>
    <cellStyle name="Normal 3 2 5 4" xfId="9762" xr:uid="{E91509DB-F428-4652-ACF6-158707EF6ED9}"/>
    <cellStyle name="Normal 3 2 6" xfId="1643" xr:uid="{00000000-0005-0000-0000-0000D6110000}"/>
    <cellStyle name="Normal 3 2 6 2" xfId="3873" xr:uid="{00000000-0005-0000-0000-0000D7110000}"/>
    <cellStyle name="Normal 3 2 6 2 2" xfId="8096" xr:uid="{00000000-0005-0000-0000-0000D8110000}"/>
    <cellStyle name="Normal 3 2 6 2 2 2" xfId="16538" xr:uid="{33375A78-F80B-4A62-96CB-F34E531ADCBE}"/>
    <cellStyle name="Normal 3 2 6 2 3" xfId="12320" xr:uid="{6AF739A8-0BF0-4E3E-8FD3-225959AD0E75}"/>
    <cellStyle name="Normal 3 2 6 3" xfId="5951" xr:uid="{00000000-0005-0000-0000-0000D9110000}"/>
    <cellStyle name="Normal 3 2 6 3 2" xfId="14393" xr:uid="{C90B23F3-6275-465A-BDC8-6F8260ABDB7B}"/>
    <cellStyle name="Normal 3 2 6 4" xfId="10175" xr:uid="{A7660C4D-7188-4E4E-8E9E-392612BB3CA2}"/>
    <cellStyle name="Normal 3 2 7" xfId="2057" xr:uid="{00000000-0005-0000-0000-0000DA110000}"/>
    <cellStyle name="Normal 3 2 7 2" xfId="4286" xr:uid="{00000000-0005-0000-0000-0000DB110000}"/>
    <cellStyle name="Normal 3 2 7 2 2" xfId="8509" xr:uid="{00000000-0005-0000-0000-0000DC110000}"/>
    <cellStyle name="Normal 3 2 7 2 2 2" xfId="16951" xr:uid="{7A91DEE2-488D-405B-9F72-21BE0390B462}"/>
    <cellStyle name="Normal 3 2 7 2 3" xfId="12733" xr:uid="{41FD4670-0F2C-48E2-A630-2AA4C9B07A07}"/>
    <cellStyle name="Normal 3 2 7 3" xfId="6364" xr:uid="{00000000-0005-0000-0000-0000DD110000}"/>
    <cellStyle name="Normal 3 2 7 3 2" xfId="14806" xr:uid="{B29E8EF1-063D-4BE8-B9B0-DDA19E1B5680}"/>
    <cellStyle name="Normal 3 2 7 4" xfId="10588" xr:uid="{9844F3CA-3FBA-498D-87E2-886621474CA6}"/>
    <cellStyle name="Normal 3 2 8" xfId="2493" xr:uid="{00000000-0005-0000-0000-0000DE110000}"/>
    <cellStyle name="Normal 3 2 8 2" xfId="6777" xr:uid="{00000000-0005-0000-0000-0000DF110000}"/>
    <cellStyle name="Normal 3 2 8 2 2" xfId="15219" xr:uid="{204A0752-E2F8-45FE-ACA1-E288991735C1}"/>
    <cellStyle name="Normal 3 2 8 3" xfId="11001" xr:uid="{EDAD06D5-3F97-401F-B157-317542F79D4E}"/>
    <cellStyle name="Normal 3 2 9" xfId="4711" xr:uid="{00000000-0005-0000-0000-0000E0110000}"/>
    <cellStyle name="Normal 3 2 9 2" xfId="13153" xr:uid="{C9E1594D-990D-42CE-8F36-812D9964855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E4AA04C-60D0-4168-947B-8C0C2E1B87A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21C14ECD-5EC1-479C-BC91-90856CB33C4C}"/>
    <cellStyle name="Normal 4 2 2 10 2 3" xfId="12738" xr:uid="{E9BA1BED-24CE-432B-889A-2DD48C104F1B}"/>
    <cellStyle name="Normal 4 2 2 10 3" xfId="6369" xr:uid="{00000000-0005-0000-0000-0000ED110000}"/>
    <cellStyle name="Normal 4 2 2 10 3 2" xfId="14811" xr:uid="{194BE838-A48E-49D9-9929-4C8ED970E119}"/>
    <cellStyle name="Normal 4 2 2 10 4" xfId="10593" xr:uid="{550D0F9A-E372-4595-9BBD-CDEC734640B4}"/>
    <cellStyle name="Normal 4 2 2 11" xfId="2498" xr:uid="{00000000-0005-0000-0000-0000EE110000}"/>
    <cellStyle name="Normal 4 2 2 11 2" xfId="6782" xr:uid="{00000000-0005-0000-0000-0000EF110000}"/>
    <cellStyle name="Normal 4 2 2 11 2 2" xfId="15224" xr:uid="{48A6A3FF-4BAD-4E9D-B394-A2F7BDD5832A}"/>
    <cellStyle name="Normal 4 2 2 11 3" xfId="11006" xr:uid="{36F24B69-EC1A-419A-95E8-FE18BBBFCAEB}"/>
    <cellStyle name="Normal 4 2 2 12" xfId="4717" xr:uid="{00000000-0005-0000-0000-0000F0110000}"/>
    <cellStyle name="Normal 4 2 2 12 2" xfId="13159" xr:uid="{077FAB48-FE7F-4A73-B5D1-D9334E76A9E0}"/>
    <cellStyle name="Normal 4 2 2 13" xfId="8941" xr:uid="{FDD1184E-A524-4B27-8A86-C9CF7082CDE2}"/>
    <cellStyle name="Normal 4 2 2 2" xfId="338" xr:uid="{00000000-0005-0000-0000-0000F1110000}"/>
    <cellStyle name="Normal 4 2 2 3" xfId="339" xr:uid="{00000000-0005-0000-0000-0000F2110000}"/>
    <cellStyle name="Normal 4 2 2 3 10" xfId="4718" xr:uid="{00000000-0005-0000-0000-0000F3110000}"/>
    <cellStyle name="Normal 4 2 2 3 10 2" xfId="13160" xr:uid="{75B39448-5F14-4E78-B232-ABE5C5A954B4}"/>
    <cellStyle name="Normal 4 2 2 3 11" xfId="8942" xr:uid="{85833A80-0174-4219-A2AB-E49822474274}"/>
    <cellStyle name="Normal 4 2 2 3 2" xfId="340" xr:uid="{00000000-0005-0000-0000-0000F4110000}"/>
    <cellStyle name="Normal 4 2 2 3 2 10" xfId="8943" xr:uid="{F34B687A-55DD-438E-88A0-169F8C28C886}"/>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2CAAD583-376B-4F6F-80F6-E6A25182CA43}"/>
    <cellStyle name="Normal 4 2 2 3 2 2 2 2 2 3" xfId="11503" xr:uid="{32D58ED6-C726-45FA-8692-DDB2E8033329}"/>
    <cellStyle name="Normal 4 2 2 3 2 2 2 2 3" xfId="5134" xr:uid="{00000000-0005-0000-0000-0000FA110000}"/>
    <cellStyle name="Normal 4 2 2 3 2 2 2 2 3 2" xfId="13576" xr:uid="{54D3B617-3733-4980-9368-035E3BAC5861}"/>
    <cellStyle name="Normal 4 2 2 3 2 2 2 2 4" xfId="9358" xr:uid="{2287689B-8C5C-417E-9187-196EA39FC349}"/>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975AE92E-4772-488C-A480-D9F07C96C5DB}"/>
    <cellStyle name="Normal 4 2 2 3 2 2 2 3 2 3" xfId="11916" xr:uid="{C0C68CBF-4AD7-46E3-90E5-47EE3771C476}"/>
    <cellStyle name="Normal 4 2 2 3 2 2 2 3 3" xfId="5547" xr:uid="{00000000-0005-0000-0000-0000FE110000}"/>
    <cellStyle name="Normal 4 2 2 3 2 2 2 3 3 2" xfId="13989" xr:uid="{24B73AB3-4CCD-4706-A15B-36DA0BFC01EE}"/>
    <cellStyle name="Normal 4 2 2 3 2 2 2 3 4" xfId="9771" xr:uid="{15BB306B-AE45-4E67-9CD0-75C77D06CF02}"/>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67575660-AEAC-4F58-AE96-D3EFCA3F179E}"/>
    <cellStyle name="Normal 4 2 2 3 2 2 2 4 2 3" xfId="12329" xr:uid="{6636C015-A8E7-4A9E-8D58-6891290E5920}"/>
    <cellStyle name="Normal 4 2 2 3 2 2 2 4 3" xfId="5960" xr:uid="{00000000-0005-0000-0000-000002120000}"/>
    <cellStyle name="Normal 4 2 2 3 2 2 2 4 3 2" xfId="14402" xr:uid="{B35DC1E5-57A9-4EC7-85B2-4A6EAEBDDC69}"/>
    <cellStyle name="Normal 4 2 2 3 2 2 2 4 4" xfId="10184" xr:uid="{64C50B68-43D5-4C8B-A803-891391B995A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DF62579D-EFF6-48F5-8B6F-CD21CC43F029}"/>
    <cellStyle name="Normal 4 2 2 3 2 2 2 5 2 3" xfId="12742" xr:uid="{872DB4DE-F2C5-4074-9A91-4538BAFE5E87}"/>
    <cellStyle name="Normal 4 2 2 3 2 2 2 5 3" xfId="6373" xr:uid="{00000000-0005-0000-0000-000006120000}"/>
    <cellStyle name="Normal 4 2 2 3 2 2 2 5 3 2" xfId="14815" xr:uid="{01D74741-E0F4-4AB4-AB62-B172F6A037A5}"/>
    <cellStyle name="Normal 4 2 2 3 2 2 2 5 4" xfId="10597" xr:uid="{D36DD909-793C-4B6B-AEFB-D27193A1B58F}"/>
    <cellStyle name="Normal 4 2 2 3 2 2 2 6" xfId="2502" xr:uid="{00000000-0005-0000-0000-000007120000}"/>
    <cellStyle name="Normal 4 2 2 3 2 2 2 6 2" xfId="6786" xr:uid="{00000000-0005-0000-0000-000008120000}"/>
    <cellStyle name="Normal 4 2 2 3 2 2 2 6 2 2" xfId="15228" xr:uid="{4D7DE3CD-4C8B-4944-A69A-0F4256D01506}"/>
    <cellStyle name="Normal 4 2 2 3 2 2 2 6 3" xfId="11010" xr:uid="{558F02B9-5F62-4413-B7CF-CE69C98D83D9}"/>
    <cellStyle name="Normal 4 2 2 3 2 2 2 7" xfId="4721" xr:uid="{00000000-0005-0000-0000-000009120000}"/>
    <cellStyle name="Normal 4 2 2 3 2 2 2 7 2" xfId="13163" xr:uid="{AB8DAB22-7910-4180-BA95-F1F0BA0EE59A}"/>
    <cellStyle name="Normal 4 2 2 3 2 2 2 8" xfId="8945" xr:uid="{BE687E8C-97E7-42B3-8BF1-9F8658D68148}"/>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5C372E5B-84C4-4D05-A73F-BDD9AAFCDC4B}"/>
    <cellStyle name="Normal 4 2 2 3 2 2 3 2 3" xfId="11502" xr:uid="{D169D5F5-44A7-4166-93FF-8EB1329C45D5}"/>
    <cellStyle name="Normal 4 2 2 3 2 2 3 3" xfId="5133" xr:uid="{00000000-0005-0000-0000-00000D120000}"/>
    <cellStyle name="Normal 4 2 2 3 2 2 3 3 2" xfId="13575" xr:uid="{D046EDE3-65B0-4DE6-89B0-28171706B7E4}"/>
    <cellStyle name="Normal 4 2 2 3 2 2 3 4" xfId="9357" xr:uid="{03F86C45-208D-42E1-9E74-F019E53E0AEF}"/>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4895625D-CE80-490E-8D5E-790CE04D23F0}"/>
    <cellStyle name="Normal 4 2 2 3 2 2 4 2 3" xfId="11915" xr:uid="{753156C6-A1F5-49A2-BD10-853CFE3B46D3}"/>
    <cellStyle name="Normal 4 2 2 3 2 2 4 3" xfId="5546" xr:uid="{00000000-0005-0000-0000-000011120000}"/>
    <cellStyle name="Normal 4 2 2 3 2 2 4 3 2" xfId="13988" xr:uid="{4A257B2C-03D2-493D-8D17-5AE77B1A30A8}"/>
    <cellStyle name="Normal 4 2 2 3 2 2 4 4" xfId="9770" xr:uid="{353AA1C8-1B63-4823-B60A-0F2A949603F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B66089EA-D5BF-4D29-BC9E-76A76932365D}"/>
    <cellStyle name="Normal 4 2 2 3 2 2 5 2 3" xfId="12328" xr:uid="{53EA1D4A-88D7-452A-B0AF-3C809C616B48}"/>
    <cellStyle name="Normal 4 2 2 3 2 2 5 3" xfId="5959" xr:uid="{00000000-0005-0000-0000-000015120000}"/>
    <cellStyle name="Normal 4 2 2 3 2 2 5 3 2" xfId="14401" xr:uid="{B0C60C8D-4878-4A14-818F-9C5F08BF4F4F}"/>
    <cellStyle name="Normal 4 2 2 3 2 2 5 4" xfId="10183" xr:uid="{5A4E7A71-9FE6-4BD9-B7F1-90A1B43A1ABD}"/>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F1DC750C-5511-453A-9975-C44A21647E06}"/>
    <cellStyle name="Normal 4 2 2 3 2 2 6 2 3" xfId="12741" xr:uid="{3ACACBDF-DB3D-4471-87FD-A15C4FC04CF3}"/>
    <cellStyle name="Normal 4 2 2 3 2 2 6 3" xfId="6372" xr:uid="{00000000-0005-0000-0000-000019120000}"/>
    <cellStyle name="Normal 4 2 2 3 2 2 6 3 2" xfId="14814" xr:uid="{E450B827-EB1D-4009-BE97-006904164A0B}"/>
    <cellStyle name="Normal 4 2 2 3 2 2 6 4" xfId="10596" xr:uid="{F5F9D656-6FBF-42EB-8E0F-D65407576D83}"/>
    <cellStyle name="Normal 4 2 2 3 2 2 7" xfId="2501" xr:uid="{00000000-0005-0000-0000-00001A120000}"/>
    <cellStyle name="Normal 4 2 2 3 2 2 7 2" xfId="6785" xr:uid="{00000000-0005-0000-0000-00001B120000}"/>
    <cellStyle name="Normal 4 2 2 3 2 2 7 2 2" xfId="15227" xr:uid="{672ACB67-9FB4-4FA7-BD16-810C8BD627C2}"/>
    <cellStyle name="Normal 4 2 2 3 2 2 7 3" xfId="11009" xr:uid="{FF8705A8-8817-493B-B871-2461228C360A}"/>
    <cellStyle name="Normal 4 2 2 3 2 2 8" xfId="4720" xr:uid="{00000000-0005-0000-0000-00001C120000}"/>
    <cellStyle name="Normal 4 2 2 3 2 2 8 2" xfId="13162" xr:uid="{F8A18E24-F717-41B2-906F-F18E89A7A4B6}"/>
    <cellStyle name="Normal 4 2 2 3 2 2 9" xfId="8944" xr:uid="{563ACE9C-42B2-4328-B769-CBAE0312F8A6}"/>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A6E181C3-DC7D-41C2-9623-8E221EE66C83}"/>
    <cellStyle name="Normal 4 2 2 3 2 3 2 2 3" xfId="11504" xr:uid="{9D80F9C6-43DF-4177-9C28-A32FC6075417}"/>
    <cellStyle name="Normal 4 2 2 3 2 3 2 3" xfId="5135" xr:uid="{00000000-0005-0000-0000-000021120000}"/>
    <cellStyle name="Normal 4 2 2 3 2 3 2 3 2" xfId="13577" xr:uid="{BA70EA1F-D0AC-4BE2-A069-85DEA881C211}"/>
    <cellStyle name="Normal 4 2 2 3 2 3 2 4" xfId="9359" xr:uid="{CB14FFCF-EFE8-4AE9-9C4D-325D2CCF89A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ADC61A20-9F61-4EB3-8652-954D78A81AB7}"/>
    <cellStyle name="Normal 4 2 2 3 2 3 3 2 3" xfId="11917" xr:uid="{B1A6D05A-3258-45DD-907D-5F43348B55F0}"/>
    <cellStyle name="Normal 4 2 2 3 2 3 3 3" xfId="5548" xr:uid="{00000000-0005-0000-0000-000025120000}"/>
    <cellStyle name="Normal 4 2 2 3 2 3 3 3 2" xfId="13990" xr:uid="{8B6ABDAD-3B1A-4DE7-88F6-2B33478ECBA7}"/>
    <cellStyle name="Normal 4 2 2 3 2 3 3 4" xfId="9772" xr:uid="{E6834A63-CE7E-4648-82CC-66DD6C0F022B}"/>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3B192A86-9E79-4ADB-ACC9-C1614FF9D22B}"/>
    <cellStyle name="Normal 4 2 2 3 2 3 4 2 3" xfId="12330" xr:uid="{80B29250-09C1-477A-A13F-D29C9056623C}"/>
    <cellStyle name="Normal 4 2 2 3 2 3 4 3" xfId="5961" xr:uid="{00000000-0005-0000-0000-000029120000}"/>
    <cellStyle name="Normal 4 2 2 3 2 3 4 3 2" xfId="14403" xr:uid="{7CB0BA7C-84DB-47E2-8027-FEBA1380BB12}"/>
    <cellStyle name="Normal 4 2 2 3 2 3 4 4" xfId="10185" xr:uid="{992D2804-B60E-42A3-B75C-8C554E13AA73}"/>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9094C6C3-492F-4964-8811-911CB3977606}"/>
    <cellStyle name="Normal 4 2 2 3 2 3 5 2 3" xfId="12743" xr:uid="{4B113823-EDCC-473E-9F93-4682945273A1}"/>
    <cellStyle name="Normal 4 2 2 3 2 3 5 3" xfId="6374" xr:uid="{00000000-0005-0000-0000-00002D120000}"/>
    <cellStyle name="Normal 4 2 2 3 2 3 5 3 2" xfId="14816" xr:uid="{4E26D167-A349-4328-986A-DFEBC4678FF0}"/>
    <cellStyle name="Normal 4 2 2 3 2 3 5 4" xfId="10598" xr:uid="{67648BA6-21C8-4EEC-AE6E-E994BD5262AE}"/>
    <cellStyle name="Normal 4 2 2 3 2 3 6" xfId="2503" xr:uid="{00000000-0005-0000-0000-00002E120000}"/>
    <cellStyle name="Normal 4 2 2 3 2 3 6 2" xfId="6787" xr:uid="{00000000-0005-0000-0000-00002F120000}"/>
    <cellStyle name="Normal 4 2 2 3 2 3 6 2 2" xfId="15229" xr:uid="{5C94B3FC-F608-4E20-B079-414FF3A76C01}"/>
    <cellStyle name="Normal 4 2 2 3 2 3 6 3" xfId="11011" xr:uid="{6CA3C462-320F-4151-B9AC-624106D53631}"/>
    <cellStyle name="Normal 4 2 2 3 2 3 7" xfId="4722" xr:uid="{00000000-0005-0000-0000-000030120000}"/>
    <cellStyle name="Normal 4 2 2 3 2 3 7 2" xfId="13164" xr:uid="{16AF1A9E-1E81-4122-B63D-3FAF5FCE878A}"/>
    <cellStyle name="Normal 4 2 2 3 2 3 8" xfId="8946" xr:uid="{AD93A992-3876-4E18-B87B-8FAE835321B7}"/>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B1BB8531-FF15-41D7-B230-FB097B3DCE8B}"/>
    <cellStyle name="Normal 4 2 2 3 2 4 2 3" xfId="11501" xr:uid="{6321DB0A-0887-4509-BF28-795EBA597DF0}"/>
    <cellStyle name="Normal 4 2 2 3 2 4 3" xfId="5132" xr:uid="{00000000-0005-0000-0000-000034120000}"/>
    <cellStyle name="Normal 4 2 2 3 2 4 3 2" xfId="13574" xr:uid="{27096491-029C-4317-B4BE-062B261D3DAE}"/>
    <cellStyle name="Normal 4 2 2 3 2 4 4" xfId="9356" xr:uid="{81154730-700A-4ED4-94BB-E8DA757B4B9A}"/>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C0EA0D89-4D74-432B-9FA4-0CCF774D76D5}"/>
    <cellStyle name="Normal 4 2 2 3 2 5 2 3" xfId="11914" xr:uid="{4FDF89DF-C97F-45EE-993B-E6E8448FBF5C}"/>
    <cellStyle name="Normal 4 2 2 3 2 5 3" xfId="5545" xr:uid="{00000000-0005-0000-0000-000038120000}"/>
    <cellStyle name="Normal 4 2 2 3 2 5 3 2" xfId="13987" xr:uid="{A41A8812-CB34-46E1-B530-1DF3BECBF677}"/>
    <cellStyle name="Normal 4 2 2 3 2 5 4" xfId="9769" xr:uid="{48B6D5DE-5385-44AE-99D8-7248E178C9D1}"/>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B8BFF91D-DCE5-41F6-AD72-E913BF1E0A7F}"/>
    <cellStyle name="Normal 4 2 2 3 2 6 2 3" xfId="12327" xr:uid="{906D3748-E9EF-4947-A7B2-1BF73125A30D}"/>
    <cellStyle name="Normal 4 2 2 3 2 6 3" xfId="5958" xr:uid="{00000000-0005-0000-0000-00003C120000}"/>
    <cellStyle name="Normal 4 2 2 3 2 6 3 2" xfId="14400" xr:uid="{1703C7C4-0175-493A-97B4-1755211E8615}"/>
    <cellStyle name="Normal 4 2 2 3 2 6 4" xfId="10182" xr:uid="{8C0E7725-E168-45ED-B0D2-8CEAD72AF5D1}"/>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CE50BB9C-7C03-46BA-8DFD-482E8AF1D363}"/>
    <cellStyle name="Normal 4 2 2 3 2 7 2 3" xfId="12740" xr:uid="{0E89C1C7-B135-4538-9CC1-AA343564FDD0}"/>
    <cellStyle name="Normal 4 2 2 3 2 7 3" xfId="6371" xr:uid="{00000000-0005-0000-0000-000040120000}"/>
    <cellStyle name="Normal 4 2 2 3 2 7 3 2" xfId="14813" xr:uid="{7A283E87-DBE9-4D13-BC89-A946AD8E5D16}"/>
    <cellStyle name="Normal 4 2 2 3 2 7 4" xfId="10595" xr:uid="{BAA056E3-3F87-49DC-8098-AE8DD68EA74D}"/>
    <cellStyle name="Normal 4 2 2 3 2 8" xfId="2500" xr:uid="{00000000-0005-0000-0000-000041120000}"/>
    <cellStyle name="Normal 4 2 2 3 2 8 2" xfId="6784" xr:uid="{00000000-0005-0000-0000-000042120000}"/>
    <cellStyle name="Normal 4 2 2 3 2 8 2 2" xfId="15226" xr:uid="{85CE80F8-29FC-4F2F-AAC0-BC26B163DF20}"/>
    <cellStyle name="Normal 4 2 2 3 2 8 3" xfId="11008" xr:uid="{A0E40DAB-6ADC-4979-A0B2-F95329F67785}"/>
    <cellStyle name="Normal 4 2 2 3 2 9" xfId="4719" xr:uid="{00000000-0005-0000-0000-000043120000}"/>
    <cellStyle name="Normal 4 2 2 3 2 9 2" xfId="13161" xr:uid="{F92BDEAF-4018-4029-B700-6E31EC3C1994}"/>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4DC3DA7B-30EE-4F8E-B577-A5CA126642CD}"/>
    <cellStyle name="Normal 4 2 2 3 3 2 2 2 3" xfId="11506" xr:uid="{9AF0FB2D-995F-4E67-9E29-5BF9159E5E12}"/>
    <cellStyle name="Normal 4 2 2 3 3 2 2 3" xfId="5137" xr:uid="{00000000-0005-0000-0000-000049120000}"/>
    <cellStyle name="Normal 4 2 2 3 3 2 2 3 2" xfId="13579" xr:uid="{FD01BCEA-3613-44C8-B465-F43FBDAE7D2F}"/>
    <cellStyle name="Normal 4 2 2 3 3 2 2 4" xfId="9361" xr:uid="{8368C7BB-0F55-46A9-904C-981F88EE9CF1}"/>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CD2CC4CA-E7CB-4BCD-952E-C2B4BCA6B014}"/>
    <cellStyle name="Normal 4 2 2 3 3 2 3 2 3" xfId="11919" xr:uid="{49490446-7DF9-416B-924F-F8BFA2912FF5}"/>
    <cellStyle name="Normal 4 2 2 3 3 2 3 3" xfId="5550" xr:uid="{00000000-0005-0000-0000-00004D120000}"/>
    <cellStyle name="Normal 4 2 2 3 3 2 3 3 2" xfId="13992" xr:uid="{1DBA3B5A-9CBD-466B-B9F6-58F1A0677778}"/>
    <cellStyle name="Normal 4 2 2 3 3 2 3 4" xfId="9774" xr:uid="{C57A5D8F-DBA4-4132-86A6-29FDEB16008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39E530B-3FFE-43BD-9E69-9AD888849C06}"/>
    <cellStyle name="Normal 4 2 2 3 3 2 4 2 3" xfId="12332" xr:uid="{EDEE8038-5F9D-4CBE-9964-23AF06A3A21C}"/>
    <cellStyle name="Normal 4 2 2 3 3 2 4 3" xfId="5963" xr:uid="{00000000-0005-0000-0000-000051120000}"/>
    <cellStyle name="Normal 4 2 2 3 3 2 4 3 2" xfId="14405" xr:uid="{8E68372D-7F6A-4619-B407-1D4D98578CFD}"/>
    <cellStyle name="Normal 4 2 2 3 3 2 4 4" xfId="10187" xr:uid="{B1E7F187-3493-4B0D-AB32-05CF403E01D9}"/>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FB9D6326-F3A1-4855-8431-A24AFE4A8FCC}"/>
    <cellStyle name="Normal 4 2 2 3 3 2 5 2 3" xfId="12745" xr:uid="{814CD655-1C96-4616-A485-16EB5527AF13}"/>
    <cellStyle name="Normal 4 2 2 3 3 2 5 3" xfId="6376" xr:uid="{00000000-0005-0000-0000-000055120000}"/>
    <cellStyle name="Normal 4 2 2 3 3 2 5 3 2" xfId="14818" xr:uid="{82486FF9-E38E-4213-9CAF-BA2C119CEEC7}"/>
    <cellStyle name="Normal 4 2 2 3 3 2 5 4" xfId="10600" xr:uid="{29AA9A4B-6F8E-46AF-9B14-62B6817D175E}"/>
    <cellStyle name="Normal 4 2 2 3 3 2 6" xfId="2505" xr:uid="{00000000-0005-0000-0000-000056120000}"/>
    <cellStyle name="Normal 4 2 2 3 3 2 6 2" xfId="6789" xr:uid="{00000000-0005-0000-0000-000057120000}"/>
    <cellStyle name="Normal 4 2 2 3 3 2 6 2 2" xfId="15231" xr:uid="{60925879-A404-4A77-84F9-9E2981FC95CC}"/>
    <cellStyle name="Normal 4 2 2 3 3 2 6 3" xfId="11013" xr:uid="{229EAB83-779B-4D4E-9B70-E9BA5B38DA8E}"/>
    <cellStyle name="Normal 4 2 2 3 3 2 7" xfId="4724" xr:uid="{00000000-0005-0000-0000-000058120000}"/>
    <cellStyle name="Normal 4 2 2 3 3 2 7 2" xfId="13166" xr:uid="{B9FD9556-00AA-43F6-A81A-0E83C7C3E59C}"/>
    <cellStyle name="Normal 4 2 2 3 3 2 8" xfId="8948" xr:uid="{9D99649D-87F0-4D0A-8A35-86AA7353D81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DF320698-AAF7-43F4-8416-AB0FC9E87BCD}"/>
    <cellStyle name="Normal 4 2 2 3 3 3 2 3" xfId="11505" xr:uid="{1FCDA636-E482-4FA1-825E-A164EC56C463}"/>
    <cellStyle name="Normal 4 2 2 3 3 3 3" xfId="5136" xr:uid="{00000000-0005-0000-0000-00005C120000}"/>
    <cellStyle name="Normal 4 2 2 3 3 3 3 2" xfId="13578" xr:uid="{FF8DDBFC-4A9D-4DB0-949A-609B901722CE}"/>
    <cellStyle name="Normal 4 2 2 3 3 3 4" xfId="9360" xr:uid="{5AABE45A-D4BB-46D4-B26A-3093225B69D3}"/>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BF344EF9-D6EF-4CA2-953B-E30968925A8B}"/>
    <cellStyle name="Normal 4 2 2 3 3 4 2 3" xfId="11918" xr:uid="{797F37B3-393F-471B-A97F-D87A1229806A}"/>
    <cellStyle name="Normal 4 2 2 3 3 4 3" xfId="5549" xr:uid="{00000000-0005-0000-0000-000060120000}"/>
    <cellStyle name="Normal 4 2 2 3 3 4 3 2" xfId="13991" xr:uid="{35F967D3-FD0B-44A1-8260-3A1C8F840BE0}"/>
    <cellStyle name="Normal 4 2 2 3 3 4 4" xfId="9773" xr:uid="{69C5CB03-2383-42E6-8C1E-12B6F3BF7228}"/>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FB8192F6-0B86-4F41-B269-E9A9035DE594}"/>
    <cellStyle name="Normal 4 2 2 3 3 5 2 3" xfId="12331" xr:uid="{5A1692B1-FDE8-4BAC-85A4-6E276CC45CCC}"/>
    <cellStyle name="Normal 4 2 2 3 3 5 3" xfId="5962" xr:uid="{00000000-0005-0000-0000-000064120000}"/>
    <cellStyle name="Normal 4 2 2 3 3 5 3 2" xfId="14404" xr:uid="{39EF343E-4090-4967-B76A-3460AF6ECB4D}"/>
    <cellStyle name="Normal 4 2 2 3 3 5 4" xfId="10186" xr:uid="{C44468B7-CFE8-4CD0-BE11-776121F57F35}"/>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289848FA-8E83-4D57-9737-1D27364821A3}"/>
    <cellStyle name="Normal 4 2 2 3 3 6 2 3" xfId="12744" xr:uid="{45230656-61A5-43CB-9C78-F35C2F072776}"/>
    <cellStyle name="Normal 4 2 2 3 3 6 3" xfId="6375" xr:uid="{00000000-0005-0000-0000-000068120000}"/>
    <cellStyle name="Normal 4 2 2 3 3 6 3 2" xfId="14817" xr:uid="{21FD2A34-21ED-4248-99BE-C10FE7E57F90}"/>
    <cellStyle name="Normal 4 2 2 3 3 6 4" xfId="10599" xr:uid="{F2B9A5DC-95B5-416A-9333-0B23BCC8DA97}"/>
    <cellStyle name="Normal 4 2 2 3 3 7" xfId="2504" xr:uid="{00000000-0005-0000-0000-000069120000}"/>
    <cellStyle name="Normal 4 2 2 3 3 7 2" xfId="6788" xr:uid="{00000000-0005-0000-0000-00006A120000}"/>
    <cellStyle name="Normal 4 2 2 3 3 7 2 2" xfId="15230" xr:uid="{3D87C91D-DB5D-440A-8AC2-62BB3113E230}"/>
    <cellStyle name="Normal 4 2 2 3 3 7 3" xfId="11012" xr:uid="{19D47BCC-B123-4E2C-84DC-80E3CAC27680}"/>
    <cellStyle name="Normal 4 2 2 3 3 8" xfId="4723" xr:uid="{00000000-0005-0000-0000-00006B120000}"/>
    <cellStyle name="Normal 4 2 2 3 3 8 2" xfId="13165" xr:uid="{9447C5ED-EAA1-426A-9B2B-021C73227B99}"/>
    <cellStyle name="Normal 4 2 2 3 3 9" xfId="8947" xr:uid="{9DA93565-F8D1-400D-9990-85C2CF676F5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EBCB17AC-3CDA-4700-A38B-0931627E2D11}"/>
    <cellStyle name="Normal 4 2 2 3 4 2 2 3" xfId="11507" xr:uid="{FD3D08CB-AA9A-44CC-AEBB-682F4B591CE6}"/>
    <cellStyle name="Normal 4 2 2 3 4 2 3" xfId="5138" xr:uid="{00000000-0005-0000-0000-000070120000}"/>
    <cellStyle name="Normal 4 2 2 3 4 2 3 2" xfId="13580" xr:uid="{BC9C437A-4E33-4F33-AC1B-07C4D6AF1E73}"/>
    <cellStyle name="Normal 4 2 2 3 4 2 4" xfId="9362" xr:uid="{7D31BFE4-CDA8-4DA8-97FC-11F9A36BE3E8}"/>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E0CAD867-D868-4849-80E6-CED53E86F1F1}"/>
    <cellStyle name="Normal 4 2 2 3 4 3 2 3" xfId="11920" xr:uid="{958C693A-8905-46AF-B156-6572D0DF7D75}"/>
    <cellStyle name="Normal 4 2 2 3 4 3 3" xfId="5551" xr:uid="{00000000-0005-0000-0000-000074120000}"/>
    <cellStyle name="Normal 4 2 2 3 4 3 3 2" xfId="13993" xr:uid="{E1751E3F-9D41-4F2E-8727-0B8630C76DBF}"/>
    <cellStyle name="Normal 4 2 2 3 4 3 4" xfId="9775" xr:uid="{CF8ABFCC-1165-4D46-A9F8-021F6993E376}"/>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B7E42C99-2322-42D6-8159-C68AEEE08BBB}"/>
    <cellStyle name="Normal 4 2 2 3 4 4 2 3" xfId="12333" xr:uid="{0820F060-F82C-419F-8294-0D5D4FB2C233}"/>
    <cellStyle name="Normal 4 2 2 3 4 4 3" xfId="5964" xr:uid="{00000000-0005-0000-0000-000078120000}"/>
    <cellStyle name="Normal 4 2 2 3 4 4 3 2" xfId="14406" xr:uid="{AF5B9145-E44A-4012-941D-346AB824803F}"/>
    <cellStyle name="Normal 4 2 2 3 4 4 4" xfId="10188" xr:uid="{D19EBC91-CDE6-4813-8FD6-400C403E2D3A}"/>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8BF18A2A-DC81-4FD4-8EFB-97C4BBC544FD}"/>
    <cellStyle name="Normal 4 2 2 3 4 5 2 3" xfId="12746" xr:uid="{7D20D4A2-AB60-4B5B-98B6-814DC690CCB7}"/>
    <cellStyle name="Normal 4 2 2 3 4 5 3" xfId="6377" xr:uid="{00000000-0005-0000-0000-00007C120000}"/>
    <cellStyle name="Normal 4 2 2 3 4 5 3 2" xfId="14819" xr:uid="{312644D7-94E6-43A3-83D5-5ED0C9B2D1C3}"/>
    <cellStyle name="Normal 4 2 2 3 4 5 4" xfId="10601" xr:uid="{4683D826-9F3C-4CE7-87B8-984A226D7486}"/>
    <cellStyle name="Normal 4 2 2 3 4 6" xfId="2506" xr:uid="{00000000-0005-0000-0000-00007D120000}"/>
    <cellStyle name="Normal 4 2 2 3 4 6 2" xfId="6790" xr:uid="{00000000-0005-0000-0000-00007E120000}"/>
    <cellStyle name="Normal 4 2 2 3 4 6 2 2" xfId="15232" xr:uid="{C07B3BEE-CD7D-40D8-8C2A-9D9026A9FA0D}"/>
    <cellStyle name="Normal 4 2 2 3 4 6 3" xfId="11014" xr:uid="{8A29C588-DD50-42D1-8990-17E4F6AFAEF4}"/>
    <cellStyle name="Normal 4 2 2 3 4 7" xfId="4725" xr:uid="{00000000-0005-0000-0000-00007F120000}"/>
    <cellStyle name="Normal 4 2 2 3 4 7 2" xfId="13167" xr:uid="{729C58D1-FD5D-4FD0-9FC6-BDAAB3379717}"/>
    <cellStyle name="Normal 4 2 2 3 4 8" xfId="8949" xr:uid="{DA0C3795-DF23-40F5-866B-51E0D8AA5882}"/>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0C4031C7-E4BD-4371-94F0-D84650AFBE00}"/>
    <cellStyle name="Normal 4 2 2 3 5 2 3" xfId="11500" xr:uid="{8AFC4B66-00A1-4E28-9404-D2ECE172577C}"/>
    <cellStyle name="Normal 4 2 2 3 5 3" xfId="5131" xr:uid="{00000000-0005-0000-0000-000083120000}"/>
    <cellStyle name="Normal 4 2 2 3 5 3 2" xfId="13573" xr:uid="{64E8E0D0-6577-4F23-A87F-6CEF7661EA73}"/>
    <cellStyle name="Normal 4 2 2 3 5 4" xfId="9355" xr:uid="{CF7F7F6D-B4FA-451E-B2BF-7E93760CB186}"/>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D4C7822F-C95F-4C65-B6EA-304AD0B17C20}"/>
    <cellStyle name="Normal 4 2 2 3 6 2 3" xfId="11913" xr:uid="{CB413B78-8080-480B-8B74-A44D91D3C2EA}"/>
    <cellStyle name="Normal 4 2 2 3 6 3" xfId="5544" xr:uid="{00000000-0005-0000-0000-000087120000}"/>
    <cellStyle name="Normal 4 2 2 3 6 3 2" xfId="13986" xr:uid="{E2C084E9-891E-4E92-9214-D754838BFDD4}"/>
    <cellStyle name="Normal 4 2 2 3 6 4" xfId="9768" xr:uid="{690A9844-CA22-465B-AE0F-D516F4A8CF28}"/>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008B7E84-DDC4-4721-8C93-C75EE2906791}"/>
    <cellStyle name="Normal 4 2 2 3 7 2 3" xfId="12326" xr:uid="{9484637F-89C2-41B3-AEFF-CBADD0E3FB01}"/>
    <cellStyle name="Normal 4 2 2 3 7 3" xfId="5957" xr:uid="{00000000-0005-0000-0000-00008B120000}"/>
    <cellStyle name="Normal 4 2 2 3 7 3 2" xfId="14399" xr:uid="{D5B32AD5-0E59-4324-B76A-CAD4E75BAB3E}"/>
    <cellStyle name="Normal 4 2 2 3 7 4" xfId="10181" xr:uid="{20EF4ED4-3AEB-4CF1-904E-F9B69E9AC026}"/>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34D31826-7B4E-4FE8-9ADE-13FB57B5264E}"/>
    <cellStyle name="Normal 4 2 2 3 8 2 3" xfId="12739" xr:uid="{0CA54152-CC7B-4E81-8360-674942E3FF39}"/>
    <cellStyle name="Normal 4 2 2 3 8 3" xfId="6370" xr:uid="{00000000-0005-0000-0000-00008F120000}"/>
    <cellStyle name="Normal 4 2 2 3 8 3 2" xfId="14812" xr:uid="{A7DFED3B-45A6-4126-B00C-73AC6AC4163B}"/>
    <cellStyle name="Normal 4 2 2 3 8 4" xfId="10594" xr:uid="{0FFD86C1-E08C-458D-ADEA-3D14A26E2B06}"/>
    <cellStyle name="Normal 4 2 2 3 9" xfId="2499" xr:uid="{00000000-0005-0000-0000-000090120000}"/>
    <cellStyle name="Normal 4 2 2 3 9 2" xfId="6783" xr:uid="{00000000-0005-0000-0000-000091120000}"/>
    <cellStyle name="Normal 4 2 2 3 9 2 2" xfId="15225" xr:uid="{0E02DAE3-1F44-4295-80E4-6E1A0A5A75FD}"/>
    <cellStyle name="Normal 4 2 2 3 9 3" xfId="11007" xr:uid="{AE4255EA-A36E-46E6-AABA-9D9961A5BB20}"/>
    <cellStyle name="Normal 4 2 2 4" xfId="347" xr:uid="{00000000-0005-0000-0000-000092120000}"/>
    <cellStyle name="Normal 4 2 2 4 10" xfId="8950" xr:uid="{A8FD469A-C64F-4BC7-8322-77A5AAF3297A}"/>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D92FE80C-DFB1-4520-8C41-3DE4E273324F}"/>
    <cellStyle name="Normal 4 2 2 4 2 2 2 2 3" xfId="11510" xr:uid="{7D22C137-C9B1-4173-A431-49389315CB57}"/>
    <cellStyle name="Normal 4 2 2 4 2 2 2 3" xfId="5141" xr:uid="{00000000-0005-0000-0000-000098120000}"/>
    <cellStyle name="Normal 4 2 2 4 2 2 2 3 2" xfId="13583" xr:uid="{A1944E66-140A-4888-A29E-409EEF811BFC}"/>
    <cellStyle name="Normal 4 2 2 4 2 2 2 4" xfId="9365" xr:uid="{5DD3510F-717A-4028-936E-A6ED16788F3F}"/>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333D5AAC-8B9A-40D2-AEEF-BA97A1DA8914}"/>
    <cellStyle name="Normal 4 2 2 4 2 2 3 2 3" xfId="11923" xr:uid="{B42C9FE2-3340-4FBB-AEE6-3D7529C123D3}"/>
    <cellStyle name="Normal 4 2 2 4 2 2 3 3" xfId="5554" xr:uid="{00000000-0005-0000-0000-00009C120000}"/>
    <cellStyle name="Normal 4 2 2 4 2 2 3 3 2" xfId="13996" xr:uid="{F2FFA0A9-B82D-4E33-B430-CFC2BAB3BDC8}"/>
    <cellStyle name="Normal 4 2 2 4 2 2 3 4" xfId="9778" xr:uid="{DAD6EA7E-5DE7-4E93-9B2C-073A1ABDC2E6}"/>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C395CC78-B52D-4BE6-A692-8BFFD780F62D}"/>
    <cellStyle name="Normal 4 2 2 4 2 2 4 2 3" xfId="12336" xr:uid="{127348D5-AFB0-4967-A0D9-889B4D1B86EC}"/>
    <cellStyle name="Normal 4 2 2 4 2 2 4 3" xfId="5967" xr:uid="{00000000-0005-0000-0000-0000A0120000}"/>
    <cellStyle name="Normal 4 2 2 4 2 2 4 3 2" xfId="14409" xr:uid="{BBE49E7E-0FD0-4827-A458-774F4C877EF4}"/>
    <cellStyle name="Normal 4 2 2 4 2 2 4 4" xfId="10191" xr:uid="{F64925F7-AA3C-4C34-B284-27E9BB0A0933}"/>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9DDA3497-9B6B-4F22-B0E5-A272EC271B64}"/>
    <cellStyle name="Normal 4 2 2 4 2 2 5 2 3" xfId="12749" xr:uid="{7542ACE5-565D-4489-AA69-5F889AF296F7}"/>
    <cellStyle name="Normal 4 2 2 4 2 2 5 3" xfId="6380" xr:uid="{00000000-0005-0000-0000-0000A4120000}"/>
    <cellStyle name="Normal 4 2 2 4 2 2 5 3 2" xfId="14822" xr:uid="{3F606C7D-9507-4095-BBCE-7531B8EF988E}"/>
    <cellStyle name="Normal 4 2 2 4 2 2 5 4" xfId="10604" xr:uid="{A29B3F1C-717D-4E01-97E8-DC40728CD54C}"/>
    <cellStyle name="Normal 4 2 2 4 2 2 6" xfId="2509" xr:uid="{00000000-0005-0000-0000-0000A5120000}"/>
    <cellStyle name="Normal 4 2 2 4 2 2 6 2" xfId="6793" xr:uid="{00000000-0005-0000-0000-0000A6120000}"/>
    <cellStyle name="Normal 4 2 2 4 2 2 6 2 2" xfId="15235" xr:uid="{82F8A6C5-0B3B-465A-A86B-709A54C7DB6F}"/>
    <cellStyle name="Normal 4 2 2 4 2 2 6 3" xfId="11017" xr:uid="{44DA47C9-3A73-46E8-9500-3344AF352D4F}"/>
    <cellStyle name="Normal 4 2 2 4 2 2 7" xfId="4728" xr:uid="{00000000-0005-0000-0000-0000A7120000}"/>
    <cellStyle name="Normal 4 2 2 4 2 2 7 2" xfId="13170" xr:uid="{EE4EC594-901E-4B3B-AFA7-01B39D40D914}"/>
    <cellStyle name="Normal 4 2 2 4 2 2 8" xfId="8952" xr:uid="{B912E7FE-2E76-45FF-97AA-91652E803B36}"/>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8F654D72-71A3-4468-AD86-5EFA4A55E6B0}"/>
    <cellStyle name="Normal 4 2 2 4 2 3 2 3" xfId="11509" xr:uid="{00592E61-9FF4-4B4C-A65D-632578CC504C}"/>
    <cellStyle name="Normal 4 2 2 4 2 3 3" xfId="5140" xr:uid="{00000000-0005-0000-0000-0000AB120000}"/>
    <cellStyle name="Normal 4 2 2 4 2 3 3 2" xfId="13582" xr:uid="{3045627C-502C-42C7-BE6A-A8FF0E4FA2E0}"/>
    <cellStyle name="Normal 4 2 2 4 2 3 4" xfId="9364" xr:uid="{BEE3EED9-6BE6-47E3-9DEA-3EA39427A49D}"/>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3C380D1E-5DE9-4DFA-A4E4-46262E65CEF0}"/>
    <cellStyle name="Normal 4 2 2 4 2 4 2 3" xfId="11922" xr:uid="{15C5F829-E3A6-4D31-9C9E-CADC49F8E4F8}"/>
    <cellStyle name="Normal 4 2 2 4 2 4 3" xfId="5553" xr:uid="{00000000-0005-0000-0000-0000AF120000}"/>
    <cellStyle name="Normal 4 2 2 4 2 4 3 2" xfId="13995" xr:uid="{40E59C38-6554-4282-B7EC-7A150E319D0F}"/>
    <cellStyle name="Normal 4 2 2 4 2 4 4" xfId="9777" xr:uid="{A80893A4-780E-4B5D-BBF1-A442261CB36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733BD96B-1249-43FA-A0F0-2F9D5712B5BC}"/>
    <cellStyle name="Normal 4 2 2 4 2 5 2 3" xfId="12335" xr:uid="{D3BC93ED-AEB9-4CAB-AED0-DA0B51C261DD}"/>
    <cellStyle name="Normal 4 2 2 4 2 5 3" xfId="5966" xr:uid="{00000000-0005-0000-0000-0000B3120000}"/>
    <cellStyle name="Normal 4 2 2 4 2 5 3 2" xfId="14408" xr:uid="{03DFD5DD-4DAC-4384-9400-D7725E96D425}"/>
    <cellStyle name="Normal 4 2 2 4 2 5 4" xfId="10190" xr:uid="{62134BC6-937A-4D42-8637-B94E9A3643B8}"/>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F0D646B3-F916-48AE-8739-09DB97139782}"/>
    <cellStyle name="Normal 4 2 2 4 2 6 2 3" xfId="12748" xr:uid="{BDEF8689-0CCC-4A79-83B6-6596B98E6B5E}"/>
    <cellStyle name="Normal 4 2 2 4 2 6 3" xfId="6379" xr:uid="{00000000-0005-0000-0000-0000B7120000}"/>
    <cellStyle name="Normal 4 2 2 4 2 6 3 2" xfId="14821" xr:uid="{F1C9C1CC-4C2F-49A6-BC0A-3811B69D0406}"/>
    <cellStyle name="Normal 4 2 2 4 2 6 4" xfId="10603" xr:uid="{A5F2A01C-6A01-41C2-987C-4DCE4D1572CC}"/>
    <cellStyle name="Normal 4 2 2 4 2 7" xfId="2508" xr:uid="{00000000-0005-0000-0000-0000B8120000}"/>
    <cellStyle name="Normal 4 2 2 4 2 7 2" xfId="6792" xr:uid="{00000000-0005-0000-0000-0000B9120000}"/>
    <cellStyle name="Normal 4 2 2 4 2 7 2 2" xfId="15234" xr:uid="{333E7CB2-4696-4ACC-B988-F622AFF56B14}"/>
    <cellStyle name="Normal 4 2 2 4 2 7 3" xfId="11016" xr:uid="{04DC3334-7E52-4F17-9AC9-B9D87087AD16}"/>
    <cellStyle name="Normal 4 2 2 4 2 8" xfId="4727" xr:uid="{00000000-0005-0000-0000-0000BA120000}"/>
    <cellStyle name="Normal 4 2 2 4 2 8 2" xfId="13169" xr:uid="{0F1235AE-3C4E-4D3A-9E82-F92552878BAA}"/>
    <cellStyle name="Normal 4 2 2 4 2 9" xfId="8951" xr:uid="{0AC0B9BB-D4C8-4443-AEF0-1324E2C7F87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6C22383D-4599-42DC-8109-494D52C382E2}"/>
    <cellStyle name="Normal 4 2 2 4 3 2 2 3" xfId="11511" xr:uid="{C5176CF8-83DE-43F0-BDCA-C9C3B9C04314}"/>
    <cellStyle name="Normal 4 2 2 4 3 2 3" xfId="5142" xr:uid="{00000000-0005-0000-0000-0000BF120000}"/>
    <cellStyle name="Normal 4 2 2 4 3 2 3 2" xfId="13584" xr:uid="{08AB6267-F92A-4082-BF7B-4C976223490A}"/>
    <cellStyle name="Normal 4 2 2 4 3 2 4" xfId="9366" xr:uid="{B96C0C7F-0406-444E-B4A9-75FEB1E83503}"/>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25A2EC36-EF03-4A45-A5A5-A07A9F719DFB}"/>
    <cellStyle name="Normal 4 2 2 4 3 3 2 3" xfId="11924" xr:uid="{1B6C333E-EFD4-4FC8-AFF1-EE339646AD60}"/>
    <cellStyle name="Normal 4 2 2 4 3 3 3" xfId="5555" xr:uid="{00000000-0005-0000-0000-0000C3120000}"/>
    <cellStyle name="Normal 4 2 2 4 3 3 3 2" xfId="13997" xr:uid="{BBF55099-9B35-413E-8764-A8426CF32F46}"/>
    <cellStyle name="Normal 4 2 2 4 3 3 4" xfId="9779" xr:uid="{7114A504-7DE7-4B8B-AAA1-878FF7F1AF2E}"/>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1ECDA053-7856-4AB3-9179-68421F472CAD}"/>
    <cellStyle name="Normal 4 2 2 4 3 4 2 3" xfId="12337" xr:uid="{A376F6EE-1F26-43CE-9CEF-83E5577A9BF0}"/>
    <cellStyle name="Normal 4 2 2 4 3 4 3" xfId="5968" xr:uid="{00000000-0005-0000-0000-0000C7120000}"/>
    <cellStyle name="Normal 4 2 2 4 3 4 3 2" xfId="14410" xr:uid="{E6891CDB-6B13-496F-B871-CBB1AD39BB7E}"/>
    <cellStyle name="Normal 4 2 2 4 3 4 4" xfId="10192" xr:uid="{71A6B08C-2E58-49CE-9C66-269A3145E9B6}"/>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14E6E2EF-347C-4CF9-9D83-8BA405F80A62}"/>
    <cellStyle name="Normal 4 2 2 4 3 5 2 3" xfId="12750" xr:uid="{9F8A7F83-2FB0-47BA-9135-E1DB18A46D29}"/>
    <cellStyle name="Normal 4 2 2 4 3 5 3" xfId="6381" xr:uid="{00000000-0005-0000-0000-0000CB120000}"/>
    <cellStyle name="Normal 4 2 2 4 3 5 3 2" xfId="14823" xr:uid="{88E00075-8B81-49DC-AD38-840186B4E7FC}"/>
    <cellStyle name="Normal 4 2 2 4 3 5 4" xfId="10605" xr:uid="{A9402897-91DA-4CB2-A0D8-19A191D65250}"/>
    <cellStyle name="Normal 4 2 2 4 3 6" xfId="2510" xr:uid="{00000000-0005-0000-0000-0000CC120000}"/>
    <cellStyle name="Normal 4 2 2 4 3 6 2" xfId="6794" xr:uid="{00000000-0005-0000-0000-0000CD120000}"/>
    <cellStyle name="Normal 4 2 2 4 3 6 2 2" xfId="15236" xr:uid="{7AD21687-F77E-4EC2-8151-FC6FEC0A46D9}"/>
    <cellStyle name="Normal 4 2 2 4 3 6 3" xfId="11018" xr:uid="{690E2384-18E4-44DC-8770-421CF934CB51}"/>
    <cellStyle name="Normal 4 2 2 4 3 7" xfId="4729" xr:uid="{00000000-0005-0000-0000-0000CE120000}"/>
    <cellStyle name="Normal 4 2 2 4 3 7 2" xfId="13171" xr:uid="{BA3E434A-0DDE-46F8-BB39-00BC8908EF98}"/>
    <cellStyle name="Normal 4 2 2 4 3 8" xfId="8953" xr:uid="{A8CEBB6C-370B-423A-980D-DCC8BA1AD3CA}"/>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6A1E23F3-78F0-472E-82C8-44F5116C31F4}"/>
    <cellStyle name="Normal 4 2 2 4 4 2 3" xfId="11508" xr:uid="{5DE0E210-AD8B-4AAF-919E-C0940B925853}"/>
    <cellStyle name="Normal 4 2 2 4 4 3" xfId="5139" xr:uid="{00000000-0005-0000-0000-0000D2120000}"/>
    <cellStyle name="Normal 4 2 2 4 4 3 2" xfId="13581" xr:uid="{BED816C2-503C-48AC-A18D-CEEDBC435BA8}"/>
    <cellStyle name="Normal 4 2 2 4 4 4" xfId="9363" xr:uid="{8AE4A3C0-8331-49E5-8B76-730D263C61CF}"/>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3A97F838-763C-4FC9-A60C-3679FC4A1BEC}"/>
    <cellStyle name="Normal 4 2 2 4 5 2 3" xfId="11921" xr:uid="{59C3F775-476A-49F3-B1D5-14FDAC7ED7D8}"/>
    <cellStyle name="Normal 4 2 2 4 5 3" xfId="5552" xr:uid="{00000000-0005-0000-0000-0000D6120000}"/>
    <cellStyle name="Normal 4 2 2 4 5 3 2" xfId="13994" xr:uid="{3AFFAE83-9C2C-49AA-A9B4-E10E7768423E}"/>
    <cellStyle name="Normal 4 2 2 4 5 4" xfId="9776" xr:uid="{1A912337-940A-49CE-AEDB-92401816DD5A}"/>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CA97D1CF-1420-4F78-9DD6-FDCC68CAE098}"/>
    <cellStyle name="Normal 4 2 2 4 6 2 3" xfId="12334" xr:uid="{F339DE11-CCF7-48DA-9113-1EF35C9A2B90}"/>
    <cellStyle name="Normal 4 2 2 4 6 3" xfId="5965" xr:uid="{00000000-0005-0000-0000-0000DA120000}"/>
    <cellStyle name="Normal 4 2 2 4 6 3 2" xfId="14407" xr:uid="{24E2AD39-DE3A-4DF7-9661-07ADD48DC39A}"/>
    <cellStyle name="Normal 4 2 2 4 6 4" xfId="10189" xr:uid="{C4166B55-8C3B-4C85-B49B-26BD3DC6FD25}"/>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187F55BA-40FD-454E-BBE7-8575394EA1E1}"/>
    <cellStyle name="Normal 4 2 2 4 7 2 3" xfId="12747" xr:uid="{DA98C325-3EB8-457C-AB89-97B53673A966}"/>
    <cellStyle name="Normal 4 2 2 4 7 3" xfId="6378" xr:uid="{00000000-0005-0000-0000-0000DE120000}"/>
    <cellStyle name="Normal 4 2 2 4 7 3 2" xfId="14820" xr:uid="{E2E7AED8-65F4-4F58-B68C-F34C8E873D93}"/>
    <cellStyle name="Normal 4 2 2 4 7 4" xfId="10602" xr:uid="{11C4CBFB-9906-49BC-867D-3F7A08816F07}"/>
    <cellStyle name="Normal 4 2 2 4 8" xfId="2507" xr:uid="{00000000-0005-0000-0000-0000DF120000}"/>
    <cellStyle name="Normal 4 2 2 4 8 2" xfId="6791" xr:uid="{00000000-0005-0000-0000-0000E0120000}"/>
    <cellStyle name="Normal 4 2 2 4 8 2 2" xfId="15233" xr:uid="{9A4732EE-BCB4-42A8-9E61-EFE82C7D4411}"/>
    <cellStyle name="Normal 4 2 2 4 8 3" xfId="11015" xr:uid="{13E94C10-A7B6-41C4-A99E-A0D4E563AE81}"/>
    <cellStyle name="Normal 4 2 2 4 9" xfId="4726" xr:uid="{00000000-0005-0000-0000-0000E1120000}"/>
    <cellStyle name="Normal 4 2 2 4 9 2" xfId="13168" xr:uid="{C0DA3ABF-2B78-4F75-AF33-043AE7B289BE}"/>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BD4A85E6-7390-4042-ABEC-0954FA9988CD}"/>
    <cellStyle name="Normal 4 2 2 5 2 2 2 3" xfId="11513" xr:uid="{819B776C-854F-4EAB-8917-092BE65BFF10}"/>
    <cellStyle name="Normal 4 2 2 5 2 2 3" xfId="5144" xr:uid="{00000000-0005-0000-0000-0000E7120000}"/>
    <cellStyle name="Normal 4 2 2 5 2 2 3 2" xfId="13586" xr:uid="{4E6E38AF-050D-4049-B9B5-AE8045A1D303}"/>
    <cellStyle name="Normal 4 2 2 5 2 2 4" xfId="9368" xr:uid="{597BF67C-409E-478C-8241-1674660D71EB}"/>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1D785372-F89E-4CD3-88AC-E1DEED6EC5B2}"/>
    <cellStyle name="Normal 4 2 2 5 2 3 2 3" xfId="11926" xr:uid="{5368CAF6-33B7-4B23-BA83-B5B53FF87F7F}"/>
    <cellStyle name="Normal 4 2 2 5 2 3 3" xfId="5557" xr:uid="{00000000-0005-0000-0000-0000EB120000}"/>
    <cellStyle name="Normal 4 2 2 5 2 3 3 2" xfId="13999" xr:uid="{D793AE04-5E15-4D44-A2FE-2766DB264CD2}"/>
    <cellStyle name="Normal 4 2 2 5 2 3 4" xfId="9781" xr:uid="{16A6DABE-66F4-4B7E-B3AE-283FFA2D7753}"/>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40C7BED4-F9F2-4B88-A449-B82978554356}"/>
    <cellStyle name="Normal 4 2 2 5 2 4 2 3" xfId="12339" xr:uid="{06D44FA5-C082-4629-8527-03DFB62EC656}"/>
    <cellStyle name="Normal 4 2 2 5 2 4 3" xfId="5970" xr:uid="{00000000-0005-0000-0000-0000EF120000}"/>
    <cellStyle name="Normal 4 2 2 5 2 4 3 2" xfId="14412" xr:uid="{F3A2A5B2-C79C-4502-B1A6-0BF04DBFB474}"/>
    <cellStyle name="Normal 4 2 2 5 2 4 4" xfId="10194" xr:uid="{15B2F486-7DCA-4073-A319-716D878F53A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A364935F-0BB1-4874-AEC1-BBD79B93A92A}"/>
    <cellStyle name="Normal 4 2 2 5 2 5 2 3" xfId="12752" xr:uid="{FF455172-5A12-4F7C-96FD-3DD672DF7120}"/>
    <cellStyle name="Normal 4 2 2 5 2 5 3" xfId="6383" xr:uid="{00000000-0005-0000-0000-0000F3120000}"/>
    <cellStyle name="Normal 4 2 2 5 2 5 3 2" xfId="14825" xr:uid="{7067BE83-35B4-4EEB-B4B4-7C1DEB433F25}"/>
    <cellStyle name="Normal 4 2 2 5 2 5 4" xfId="10607" xr:uid="{67A1655E-433A-484A-92D2-18CDE1803DC4}"/>
    <cellStyle name="Normal 4 2 2 5 2 6" xfId="2512" xr:uid="{00000000-0005-0000-0000-0000F4120000}"/>
    <cellStyle name="Normal 4 2 2 5 2 6 2" xfId="6796" xr:uid="{00000000-0005-0000-0000-0000F5120000}"/>
    <cellStyle name="Normal 4 2 2 5 2 6 2 2" xfId="15238" xr:uid="{2A41A92E-9650-4FF7-94BB-9C6CF6744B5E}"/>
    <cellStyle name="Normal 4 2 2 5 2 6 3" xfId="11020" xr:uid="{CB640972-C996-46B4-9AB6-3DF2A2650940}"/>
    <cellStyle name="Normal 4 2 2 5 2 7" xfId="4731" xr:uid="{00000000-0005-0000-0000-0000F6120000}"/>
    <cellStyle name="Normal 4 2 2 5 2 7 2" xfId="13173" xr:uid="{B29B64A5-47AA-4931-92DA-FA189E6065AA}"/>
    <cellStyle name="Normal 4 2 2 5 2 8" xfId="8955" xr:uid="{687455C9-2968-483F-B35E-D4E1FB1DC0CF}"/>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421DF850-140B-4972-8637-CBAC1F6DE25F}"/>
    <cellStyle name="Normal 4 2 2 5 3 2 3" xfId="11512" xr:uid="{1298154E-FEB2-41A9-A057-0DBB3CF53311}"/>
    <cellStyle name="Normal 4 2 2 5 3 3" xfId="5143" xr:uid="{00000000-0005-0000-0000-0000FA120000}"/>
    <cellStyle name="Normal 4 2 2 5 3 3 2" xfId="13585" xr:uid="{0B8E1E73-8D98-4D02-96EE-B45FDBCFC877}"/>
    <cellStyle name="Normal 4 2 2 5 3 4" xfId="9367" xr:uid="{EC5A8B12-E6A6-4815-9371-C164C2A68AAF}"/>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B78B0D6E-9FAF-4F45-A09E-E34C161ACB64}"/>
    <cellStyle name="Normal 4 2 2 5 4 2 3" xfId="11925" xr:uid="{E81DF54F-26E3-4226-A79E-C67C97822119}"/>
    <cellStyle name="Normal 4 2 2 5 4 3" xfId="5556" xr:uid="{00000000-0005-0000-0000-0000FE120000}"/>
    <cellStyle name="Normal 4 2 2 5 4 3 2" xfId="13998" xr:uid="{EDAD667A-295C-485D-B839-A401C37FC6E5}"/>
    <cellStyle name="Normal 4 2 2 5 4 4" xfId="9780" xr:uid="{AA37062C-7E09-4759-980C-221633B0C2E9}"/>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524C01FB-E4E3-4035-B7B7-F4BFB8FE8404}"/>
    <cellStyle name="Normal 4 2 2 5 5 2 3" xfId="12338" xr:uid="{63E7A56F-8072-498E-856D-7EC4F0816DEC}"/>
    <cellStyle name="Normal 4 2 2 5 5 3" xfId="5969" xr:uid="{00000000-0005-0000-0000-000002130000}"/>
    <cellStyle name="Normal 4 2 2 5 5 3 2" xfId="14411" xr:uid="{07D30D56-7871-44ED-954B-376AF129A154}"/>
    <cellStyle name="Normal 4 2 2 5 5 4" xfId="10193" xr:uid="{A183718C-FFFD-4D38-B194-F51542CA501B}"/>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27576D08-8222-4CDB-BEB5-7D16C47E2378}"/>
    <cellStyle name="Normal 4 2 2 5 6 2 3" xfId="12751" xr:uid="{53B7F8EE-6AC6-49CB-A901-0B5E46A3DAB2}"/>
    <cellStyle name="Normal 4 2 2 5 6 3" xfId="6382" xr:uid="{00000000-0005-0000-0000-000006130000}"/>
    <cellStyle name="Normal 4 2 2 5 6 3 2" xfId="14824" xr:uid="{6F9C6F82-C0C0-4C75-BDBA-B8DE8C4FEC52}"/>
    <cellStyle name="Normal 4 2 2 5 6 4" xfId="10606" xr:uid="{E3092F5A-E1AD-4929-A35E-75D358A5C53B}"/>
    <cellStyle name="Normal 4 2 2 5 7" xfId="2511" xr:uid="{00000000-0005-0000-0000-000007130000}"/>
    <cellStyle name="Normal 4 2 2 5 7 2" xfId="6795" xr:uid="{00000000-0005-0000-0000-000008130000}"/>
    <cellStyle name="Normal 4 2 2 5 7 2 2" xfId="15237" xr:uid="{CA0A2D93-3859-49AB-83D6-D388FF2F6EE7}"/>
    <cellStyle name="Normal 4 2 2 5 7 3" xfId="11019" xr:uid="{496DC0EE-42E2-482C-A006-CD8BD250FBEE}"/>
    <cellStyle name="Normal 4 2 2 5 8" xfId="4730" xr:uid="{00000000-0005-0000-0000-000009130000}"/>
    <cellStyle name="Normal 4 2 2 5 8 2" xfId="13172" xr:uid="{F4C21FFC-8F54-4F55-9E3E-7E2BD90510A0}"/>
    <cellStyle name="Normal 4 2 2 5 9" xfId="8954" xr:uid="{7128CCDB-E578-44F4-AFBE-CCDABF93D9E8}"/>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49597BFB-DC55-47FC-9700-BAC8BAEF44C7}"/>
    <cellStyle name="Normal 4 2 2 6 2 2 3" xfId="11514" xr:uid="{72B3D099-17CD-4D9B-B059-E7C29938BD35}"/>
    <cellStyle name="Normal 4 2 2 6 2 3" xfId="5145" xr:uid="{00000000-0005-0000-0000-00000E130000}"/>
    <cellStyle name="Normal 4 2 2 6 2 3 2" xfId="13587" xr:uid="{C7AF15B2-65E9-49F7-A89E-CABF0F6EC707}"/>
    <cellStyle name="Normal 4 2 2 6 2 4" xfId="9369" xr:uid="{4688C352-68A1-4D30-AC7B-F097DE312C36}"/>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365BB8A7-D1A7-4840-BC8D-FDB7371F668F}"/>
    <cellStyle name="Normal 4 2 2 6 3 2 3" xfId="11927" xr:uid="{383ACCB5-734B-4707-AAC0-8CE6781B6878}"/>
    <cellStyle name="Normal 4 2 2 6 3 3" xfId="5558" xr:uid="{00000000-0005-0000-0000-000012130000}"/>
    <cellStyle name="Normal 4 2 2 6 3 3 2" xfId="14000" xr:uid="{5129276A-1951-4456-921A-96C8F113F68D}"/>
    <cellStyle name="Normal 4 2 2 6 3 4" xfId="9782" xr:uid="{F1E5A7D9-A4B7-4194-A732-6C86E035CE0A}"/>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92AE6873-465E-469A-8A78-070D3A3877EC}"/>
    <cellStyle name="Normal 4 2 2 6 4 2 3" xfId="12340" xr:uid="{49A0CC31-79E1-4B41-BB04-4FA53F748FB4}"/>
    <cellStyle name="Normal 4 2 2 6 4 3" xfId="5971" xr:uid="{00000000-0005-0000-0000-000016130000}"/>
    <cellStyle name="Normal 4 2 2 6 4 3 2" xfId="14413" xr:uid="{3B22581B-CCE7-4FCA-9D9E-41C53CEA33B7}"/>
    <cellStyle name="Normal 4 2 2 6 4 4" xfId="10195" xr:uid="{383CE637-C92E-4676-AD57-9FD69BE8EB2B}"/>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051F69D1-78D2-410B-8A9B-2706C02F52DD}"/>
    <cellStyle name="Normal 4 2 2 6 5 2 3" xfId="12753" xr:uid="{E44D4232-E2CB-432A-B56F-88F8B7002F5A}"/>
    <cellStyle name="Normal 4 2 2 6 5 3" xfId="6384" xr:uid="{00000000-0005-0000-0000-00001A130000}"/>
    <cellStyle name="Normal 4 2 2 6 5 3 2" xfId="14826" xr:uid="{2D7A9437-223D-4376-BE81-D0EE7C87ACB5}"/>
    <cellStyle name="Normal 4 2 2 6 5 4" xfId="10608" xr:uid="{8D0AC8F8-3684-4422-8588-FAEFBC540C8F}"/>
    <cellStyle name="Normal 4 2 2 6 6" xfId="2513" xr:uid="{00000000-0005-0000-0000-00001B130000}"/>
    <cellStyle name="Normal 4 2 2 6 6 2" xfId="6797" xr:uid="{00000000-0005-0000-0000-00001C130000}"/>
    <cellStyle name="Normal 4 2 2 6 6 2 2" xfId="15239" xr:uid="{ED1B1E24-218A-4328-A452-07D45EA68EF0}"/>
    <cellStyle name="Normal 4 2 2 6 6 3" xfId="11021" xr:uid="{D1FA7D8D-55BF-4F91-803A-814EED8E2837}"/>
    <cellStyle name="Normal 4 2 2 6 7" xfId="4732" xr:uid="{00000000-0005-0000-0000-00001D130000}"/>
    <cellStyle name="Normal 4 2 2 6 7 2" xfId="13174" xr:uid="{7E51617F-F728-4B48-B544-546CA6EF8343}"/>
    <cellStyle name="Normal 4 2 2 6 8" xfId="8956" xr:uid="{448AE147-76C6-4080-932D-F1E625F0511F}"/>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7DA674E0-4655-4252-A459-1F2C2D55D92A}"/>
    <cellStyle name="Normal 4 2 2 7 2 3" xfId="11499" xr:uid="{E0493D29-7DC1-47FF-866B-136241D6A9BC}"/>
    <cellStyle name="Normal 4 2 2 7 3" xfId="5130" xr:uid="{00000000-0005-0000-0000-000021130000}"/>
    <cellStyle name="Normal 4 2 2 7 3 2" xfId="13572" xr:uid="{559EC73D-A7B9-43BB-888D-4556E9B315D5}"/>
    <cellStyle name="Normal 4 2 2 7 4" xfId="9354" xr:uid="{09A908A0-B393-47CD-95C8-4323F228659E}"/>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27F7D85E-C58D-45B3-AC73-756FF132E4F6}"/>
    <cellStyle name="Normal 4 2 2 8 2 3" xfId="11912" xr:uid="{95DEDFE9-5A77-460E-ACA0-293FF1602527}"/>
    <cellStyle name="Normal 4 2 2 8 3" xfId="5543" xr:uid="{00000000-0005-0000-0000-000025130000}"/>
    <cellStyle name="Normal 4 2 2 8 3 2" xfId="13985" xr:uid="{CB5BB327-9D37-46B0-AE74-4C1F1301585B}"/>
    <cellStyle name="Normal 4 2 2 8 4" xfId="9767" xr:uid="{D0C1FB4A-9DD4-4CB0-AFC9-DF006AE1FA16}"/>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88521513-2F1D-4A37-9006-C3D02FE3608F}"/>
    <cellStyle name="Normal 4 2 2 9 2 3" xfId="12325" xr:uid="{546E8CF7-86A3-4914-8E50-29DD5824B4CE}"/>
    <cellStyle name="Normal 4 2 2 9 3" xfId="5956" xr:uid="{00000000-0005-0000-0000-000029130000}"/>
    <cellStyle name="Normal 4 2 2 9 3 2" xfId="14398" xr:uid="{97C0ACF1-8BAF-46B4-8540-6477B0120FE9}"/>
    <cellStyle name="Normal 4 2 2 9 4" xfId="10180" xr:uid="{7797A59C-1751-4FBC-AF88-8BC72DA31C32}"/>
    <cellStyle name="Normal 4 2 3" xfId="354" xr:uid="{00000000-0005-0000-0000-00002A130000}"/>
    <cellStyle name="Normal 4 2 4" xfId="355" xr:uid="{00000000-0005-0000-0000-00002B130000}"/>
    <cellStyle name="Normal 4 2 4 10" xfId="4733" xr:uid="{00000000-0005-0000-0000-00002C130000}"/>
    <cellStyle name="Normal 4 2 4 10 2" xfId="13175" xr:uid="{A18B09FA-ED79-458E-B42E-3BB40619C4AB}"/>
    <cellStyle name="Normal 4 2 4 11" xfId="8957" xr:uid="{341B797D-B92B-4F0E-9D82-442F1B0FA519}"/>
    <cellStyle name="Normal 4 2 4 2" xfId="356" xr:uid="{00000000-0005-0000-0000-00002D130000}"/>
    <cellStyle name="Normal 4 2 4 2 10" xfId="8958" xr:uid="{7AF70C10-F92A-4065-AB23-1DB0D09B2C1E}"/>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95931AC5-4306-406E-B15D-D1608B50D330}"/>
    <cellStyle name="Normal 4 2 4 2 2 2 2 2 3" xfId="11518" xr:uid="{70C75DAA-2B7C-4637-B736-E2B8DC47E51C}"/>
    <cellStyle name="Normal 4 2 4 2 2 2 2 3" xfId="5149" xr:uid="{00000000-0005-0000-0000-000033130000}"/>
    <cellStyle name="Normal 4 2 4 2 2 2 2 3 2" xfId="13591" xr:uid="{71FB8ED6-0351-4DD8-B0BF-F6706449003F}"/>
    <cellStyle name="Normal 4 2 4 2 2 2 2 4" xfId="9373" xr:uid="{C8ACEEFB-617D-4E5A-900B-72B10EB95D02}"/>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9A64D402-F642-40CA-9B3E-91DE4DFB0113}"/>
    <cellStyle name="Normal 4 2 4 2 2 2 3 2 3" xfId="11931" xr:uid="{E9F705B5-F2D9-4767-9E94-0F9D5239E255}"/>
    <cellStyle name="Normal 4 2 4 2 2 2 3 3" xfId="5562" xr:uid="{00000000-0005-0000-0000-000037130000}"/>
    <cellStyle name="Normal 4 2 4 2 2 2 3 3 2" xfId="14004" xr:uid="{33AD52E7-27D3-4799-B194-E111B775A665}"/>
    <cellStyle name="Normal 4 2 4 2 2 2 3 4" xfId="9786" xr:uid="{30CC7AD2-CF2D-4EE9-B819-1208B1142F1A}"/>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25107110-2C16-4EC1-99CC-2D92C16A26F6}"/>
    <cellStyle name="Normal 4 2 4 2 2 2 4 2 3" xfId="12344" xr:uid="{7639DB90-F4AA-46F2-AA96-A26BD6D6C82F}"/>
    <cellStyle name="Normal 4 2 4 2 2 2 4 3" xfId="5975" xr:uid="{00000000-0005-0000-0000-00003B130000}"/>
    <cellStyle name="Normal 4 2 4 2 2 2 4 3 2" xfId="14417" xr:uid="{5F874467-7C48-4308-AA33-F6816DEBE408}"/>
    <cellStyle name="Normal 4 2 4 2 2 2 4 4" xfId="10199" xr:uid="{635011A4-D5E2-41AA-8EFE-6D13D151AC3C}"/>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232C703F-F4CE-4C18-B758-84863120AF0F}"/>
    <cellStyle name="Normal 4 2 4 2 2 2 5 2 3" xfId="12757" xr:uid="{8B7994B6-4F42-4CEB-A631-4A177AD0BC94}"/>
    <cellStyle name="Normal 4 2 4 2 2 2 5 3" xfId="6388" xr:uid="{00000000-0005-0000-0000-00003F130000}"/>
    <cellStyle name="Normal 4 2 4 2 2 2 5 3 2" xfId="14830" xr:uid="{61785CB2-893D-4693-98AA-FCACB9E48C1A}"/>
    <cellStyle name="Normal 4 2 4 2 2 2 5 4" xfId="10612" xr:uid="{B7E43D61-7008-40C0-9A1D-5186B8A4FF25}"/>
    <cellStyle name="Normal 4 2 4 2 2 2 6" xfId="2517" xr:uid="{00000000-0005-0000-0000-000040130000}"/>
    <cellStyle name="Normal 4 2 4 2 2 2 6 2" xfId="6801" xr:uid="{00000000-0005-0000-0000-000041130000}"/>
    <cellStyle name="Normal 4 2 4 2 2 2 6 2 2" xfId="15243" xr:uid="{714DD483-365C-4565-893E-E4B42D395770}"/>
    <cellStyle name="Normal 4 2 4 2 2 2 6 3" xfId="11025" xr:uid="{EDF19AC4-1872-454C-B9FD-494385DDE89E}"/>
    <cellStyle name="Normal 4 2 4 2 2 2 7" xfId="4736" xr:uid="{00000000-0005-0000-0000-000042130000}"/>
    <cellStyle name="Normal 4 2 4 2 2 2 7 2" xfId="13178" xr:uid="{49675356-4A28-4B9C-8D5A-7F06B723C8D7}"/>
    <cellStyle name="Normal 4 2 4 2 2 2 8" xfId="8960" xr:uid="{52CBAEA8-AF3D-435C-BC7E-CA1E881A6751}"/>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A87EBF99-4AA6-4BDA-9D65-56EB97C60577}"/>
    <cellStyle name="Normal 4 2 4 2 2 3 2 3" xfId="11517" xr:uid="{7E95BDBD-6FC1-48B3-9892-803CE6561819}"/>
    <cellStyle name="Normal 4 2 4 2 2 3 3" xfId="5148" xr:uid="{00000000-0005-0000-0000-000046130000}"/>
    <cellStyle name="Normal 4 2 4 2 2 3 3 2" xfId="13590" xr:uid="{FDD86A50-D8F1-4AB7-BD31-7B5F0542348A}"/>
    <cellStyle name="Normal 4 2 4 2 2 3 4" xfId="9372" xr:uid="{7EF29C02-2FBF-436D-B719-4772DDD4ABCA}"/>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6DB04529-F4EB-4664-9207-0C255994CB79}"/>
    <cellStyle name="Normal 4 2 4 2 2 4 2 3" xfId="11930" xr:uid="{89CD5E7E-FFDB-4D39-9C3B-AB50B4556055}"/>
    <cellStyle name="Normal 4 2 4 2 2 4 3" xfId="5561" xr:uid="{00000000-0005-0000-0000-00004A130000}"/>
    <cellStyle name="Normal 4 2 4 2 2 4 3 2" xfId="14003" xr:uid="{CB651F57-5C56-4EAD-A462-A25318D97434}"/>
    <cellStyle name="Normal 4 2 4 2 2 4 4" xfId="9785" xr:uid="{6BEBBCC1-BAAA-4203-8BF8-4E0D5092D6F2}"/>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3DAA5DA0-7622-4842-AEF1-4F8F1410F2C1}"/>
    <cellStyle name="Normal 4 2 4 2 2 5 2 3" xfId="12343" xr:uid="{6CB91CF0-CD82-4E61-8716-7342A303DB13}"/>
    <cellStyle name="Normal 4 2 4 2 2 5 3" xfId="5974" xr:uid="{00000000-0005-0000-0000-00004E130000}"/>
    <cellStyle name="Normal 4 2 4 2 2 5 3 2" xfId="14416" xr:uid="{99FD30BD-B43B-47B5-9F89-EF4E31F7E484}"/>
    <cellStyle name="Normal 4 2 4 2 2 5 4" xfId="10198" xr:uid="{59BA9A26-9E82-4927-9C9C-F8113BC2614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C1ABD29B-27F9-4EA9-AB2A-134BC9E26FE3}"/>
    <cellStyle name="Normal 4 2 4 2 2 6 2 3" xfId="12756" xr:uid="{5012081A-0BEE-4FB0-8264-1356A7179701}"/>
    <cellStyle name="Normal 4 2 4 2 2 6 3" xfId="6387" xr:uid="{00000000-0005-0000-0000-000052130000}"/>
    <cellStyle name="Normal 4 2 4 2 2 6 3 2" xfId="14829" xr:uid="{1CB4A8A9-1F45-424B-8547-C944CD7FA0BF}"/>
    <cellStyle name="Normal 4 2 4 2 2 6 4" xfId="10611" xr:uid="{3662E1F5-902C-4384-9B13-5F0CCFF34290}"/>
    <cellStyle name="Normal 4 2 4 2 2 7" xfId="2516" xr:uid="{00000000-0005-0000-0000-000053130000}"/>
    <cellStyle name="Normal 4 2 4 2 2 7 2" xfId="6800" xr:uid="{00000000-0005-0000-0000-000054130000}"/>
    <cellStyle name="Normal 4 2 4 2 2 7 2 2" xfId="15242" xr:uid="{97837606-F4CF-4FC7-8CC9-EAFBC5DED489}"/>
    <cellStyle name="Normal 4 2 4 2 2 7 3" xfId="11024" xr:uid="{6F9DEB46-6A71-4BB3-9FE2-B980EF3CA77B}"/>
    <cellStyle name="Normal 4 2 4 2 2 8" xfId="4735" xr:uid="{00000000-0005-0000-0000-000055130000}"/>
    <cellStyle name="Normal 4 2 4 2 2 8 2" xfId="13177" xr:uid="{D0A76879-AEDC-4015-984D-5A1DA8182278}"/>
    <cellStyle name="Normal 4 2 4 2 2 9" xfId="8959" xr:uid="{83F11231-5995-4716-9284-EA96D888FC8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5E124157-FC4B-47F9-ABAA-124AC0232EC4}"/>
    <cellStyle name="Normal 4 2 4 2 3 2 2 3" xfId="11519" xr:uid="{0BE0FE09-9244-4C63-8937-1FAE3C8FD76C}"/>
    <cellStyle name="Normal 4 2 4 2 3 2 3" xfId="5150" xr:uid="{00000000-0005-0000-0000-00005A130000}"/>
    <cellStyle name="Normal 4 2 4 2 3 2 3 2" xfId="13592" xr:uid="{74C2BBE8-F9BB-4B51-B927-4797767E9B15}"/>
    <cellStyle name="Normal 4 2 4 2 3 2 4" xfId="9374" xr:uid="{87062CED-16B1-4215-A406-8658F9C8A135}"/>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F4345DC1-239C-4F50-A8E8-697BD86119C4}"/>
    <cellStyle name="Normal 4 2 4 2 3 3 2 3" xfId="11932" xr:uid="{7EFCEBCE-7066-4BB3-BBC5-11907DCBC6D4}"/>
    <cellStyle name="Normal 4 2 4 2 3 3 3" xfId="5563" xr:uid="{00000000-0005-0000-0000-00005E130000}"/>
    <cellStyle name="Normal 4 2 4 2 3 3 3 2" xfId="14005" xr:uid="{114768DD-9A93-49AA-BD8A-702B263EF9CC}"/>
    <cellStyle name="Normal 4 2 4 2 3 3 4" xfId="9787" xr:uid="{EC29D59A-BDF1-4DF6-AA2A-84C9761B65AA}"/>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4A366E47-0576-44A7-B791-0010CEE27B2C}"/>
    <cellStyle name="Normal 4 2 4 2 3 4 2 3" xfId="12345" xr:uid="{E54D6FC9-F33A-4410-97BE-F3D8DA643BCD}"/>
    <cellStyle name="Normal 4 2 4 2 3 4 3" xfId="5976" xr:uid="{00000000-0005-0000-0000-000062130000}"/>
    <cellStyle name="Normal 4 2 4 2 3 4 3 2" xfId="14418" xr:uid="{AB42DEFA-41E1-412B-A5E5-2A7A34827CC7}"/>
    <cellStyle name="Normal 4 2 4 2 3 4 4" xfId="10200" xr:uid="{41721DBD-15A0-4E6A-B7A0-447B8F13F0B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9A3F7EED-108E-4B91-AD99-6CDAEFF70FF5}"/>
    <cellStyle name="Normal 4 2 4 2 3 5 2 3" xfId="12758" xr:uid="{A892E95E-9971-45A6-B93B-0E7801531520}"/>
    <cellStyle name="Normal 4 2 4 2 3 5 3" xfId="6389" xr:uid="{00000000-0005-0000-0000-000066130000}"/>
    <cellStyle name="Normal 4 2 4 2 3 5 3 2" xfId="14831" xr:uid="{60E526DC-B1F7-40F3-ABBC-DDE33D60EE3E}"/>
    <cellStyle name="Normal 4 2 4 2 3 5 4" xfId="10613" xr:uid="{D429A0FD-C5FA-42DB-B491-3EBEA0C35C9A}"/>
    <cellStyle name="Normal 4 2 4 2 3 6" xfId="2518" xr:uid="{00000000-0005-0000-0000-000067130000}"/>
    <cellStyle name="Normal 4 2 4 2 3 6 2" xfId="6802" xr:uid="{00000000-0005-0000-0000-000068130000}"/>
    <cellStyle name="Normal 4 2 4 2 3 6 2 2" xfId="15244" xr:uid="{FA38EC2E-BB99-4D08-B0E5-7D870AC2A62E}"/>
    <cellStyle name="Normal 4 2 4 2 3 6 3" xfId="11026" xr:uid="{0B1D3176-4284-4BB6-A280-DFC470F57ED7}"/>
    <cellStyle name="Normal 4 2 4 2 3 7" xfId="4737" xr:uid="{00000000-0005-0000-0000-000069130000}"/>
    <cellStyle name="Normal 4 2 4 2 3 7 2" xfId="13179" xr:uid="{89253F48-70D0-496F-8963-ADA8F1551346}"/>
    <cellStyle name="Normal 4 2 4 2 3 8" xfId="8961" xr:uid="{50964FFB-7BF2-4663-8B9E-F2D3997AB19E}"/>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87874990-C6D0-456C-89F2-36F7A6F14CFB}"/>
    <cellStyle name="Normal 4 2 4 2 4 2 3" xfId="11516" xr:uid="{2B287174-4B09-4F16-86FB-FC1A831ED7F2}"/>
    <cellStyle name="Normal 4 2 4 2 4 3" xfId="5147" xr:uid="{00000000-0005-0000-0000-00006D130000}"/>
    <cellStyle name="Normal 4 2 4 2 4 3 2" xfId="13589" xr:uid="{C71C3C03-EC09-4877-9B0E-5C7241EADF6A}"/>
    <cellStyle name="Normal 4 2 4 2 4 4" xfId="9371" xr:uid="{1CAE1DA4-E411-44D3-9128-E908478D05F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52B32C58-DA34-4AD7-88BF-B56F7633A9AB}"/>
    <cellStyle name="Normal 4 2 4 2 5 2 3" xfId="11929" xr:uid="{4386D09F-C1AA-4893-8CAA-BA804B19B857}"/>
    <cellStyle name="Normal 4 2 4 2 5 3" xfId="5560" xr:uid="{00000000-0005-0000-0000-000071130000}"/>
    <cellStyle name="Normal 4 2 4 2 5 3 2" xfId="14002" xr:uid="{0C781D20-CE36-4C4B-99F3-9294F4DD2EC7}"/>
    <cellStyle name="Normal 4 2 4 2 5 4" xfId="9784" xr:uid="{6BC030C5-6627-4222-AEDD-FA25E37A0E06}"/>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CDDAA227-051F-42E9-90B4-07FC60B603D3}"/>
    <cellStyle name="Normal 4 2 4 2 6 2 3" xfId="12342" xr:uid="{9B10D5D9-D22B-4FE0-849F-9201F73F9873}"/>
    <cellStyle name="Normal 4 2 4 2 6 3" xfId="5973" xr:uid="{00000000-0005-0000-0000-000075130000}"/>
    <cellStyle name="Normal 4 2 4 2 6 3 2" xfId="14415" xr:uid="{C2624A06-7CEB-491B-A2ED-A0E1CFC063CD}"/>
    <cellStyle name="Normal 4 2 4 2 6 4" xfId="10197" xr:uid="{B5DB3E95-7AE6-4DF6-85E8-250F956AA906}"/>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F464C8DE-84AF-4357-9651-FAF49157BFFA}"/>
    <cellStyle name="Normal 4 2 4 2 7 2 3" xfId="12755" xr:uid="{E7C170D4-2C28-4BA7-9868-CB5CBF4A93AD}"/>
    <cellStyle name="Normal 4 2 4 2 7 3" xfId="6386" xr:uid="{00000000-0005-0000-0000-000079130000}"/>
    <cellStyle name="Normal 4 2 4 2 7 3 2" xfId="14828" xr:uid="{740FDFC5-0FB7-4553-BB2D-DD3698B5F365}"/>
    <cellStyle name="Normal 4 2 4 2 7 4" xfId="10610" xr:uid="{4E99AD58-EE18-4629-AE8D-0E4E6F203D76}"/>
    <cellStyle name="Normal 4 2 4 2 8" xfId="2515" xr:uid="{00000000-0005-0000-0000-00007A130000}"/>
    <cellStyle name="Normal 4 2 4 2 8 2" xfId="6799" xr:uid="{00000000-0005-0000-0000-00007B130000}"/>
    <cellStyle name="Normal 4 2 4 2 8 2 2" xfId="15241" xr:uid="{4100B015-B764-4240-ABD7-BBA776338CCA}"/>
    <cellStyle name="Normal 4 2 4 2 8 3" xfId="11023" xr:uid="{25A7E5A5-C902-4F0A-8821-B66814FBE7F3}"/>
    <cellStyle name="Normal 4 2 4 2 9" xfId="4734" xr:uid="{00000000-0005-0000-0000-00007C130000}"/>
    <cellStyle name="Normal 4 2 4 2 9 2" xfId="13176" xr:uid="{C8ECBF7A-AC83-4E69-98D4-584051698F73}"/>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BE1A7480-34D0-41F0-A871-428AB380EE56}"/>
    <cellStyle name="Normal 4 2 4 3 2 2 2 3" xfId="11521" xr:uid="{C403050D-6DAC-4C2B-B452-057ADDE9626D}"/>
    <cellStyle name="Normal 4 2 4 3 2 2 3" xfId="5152" xr:uid="{00000000-0005-0000-0000-000082130000}"/>
    <cellStyle name="Normal 4 2 4 3 2 2 3 2" xfId="13594" xr:uid="{087B18C8-FE57-4DF8-BD2B-732910254485}"/>
    <cellStyle name="Normal 4 2 4 3 2 2 4" xfId="9376" xr:uid="{D453E825-A75D-475B-AD01-9AE829A3FDB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CF0EDC04-85AA-49BE-8E31-10D86C5319D1}"/>
    <cellStyle name="Normal 4 2 4 3 2 3 2 3" xfId="11934" xr:uid="{FD5CAC6F-0E5D-4A2F-86E7-5B705A25B9CA}"/>
    <cellStyle name="Normal 4 2 4 3 2 3 3" xfId="5565" xr:uid="{00000000-0005-0000-0000-000086130000}"/>
    <cellStyle name="Normal 4 2 4 3 2 3 3 2" xfId="14007" xr:uid="{A1F5164A-E232-48D2-9265-A10114C7E04E}"/>
    <cellStyle name="Normal 4 2 4 3 2 3 4" xfId="9789" xr:uid="{9FE0DC50-91E6-497E-BE25-5B00427FCB1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FA134A76-E158-4EEF-83A4-BBFE8157405B}"/>
    <cellStyle name="Normal 4 2 4 3 2 4 2 3" xfId="12347" xr:uid="{C9A8562A-2EAD-46EF-879A-8BF3BC3768B5}"/>
    <cellStyle name="Normal 4 2 4 3 2 4 3" xfId="5978" xr:uid="{00000000-0005-0000-0000-00008A130000}"/>
    <cellStyle name="Normal 4 2 4 3 2 4 3 2" xfId="14420" xr:uid="{F781D2D2-B50B-49DB-8706-AA375A9FA06E}"/>
    <cellStyle name="Normal 4 2 4 3 2 4 4" xfId="10202" xr:uid="{B13D3CB5-54F2-4153-88EA-B0E8762C7DFD}"/>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758F35F9-952B-44DE-8854-262AE4E830C8}"/>
    <cellStyle name="Normal 4 2 4 3 2 5 2 3" xfId="12760" xr:uid="{9F39C31B-EEBC-4D6E-AFD2-16645A6384BC}"/>
    <cellStyle name="Normal 4 2 4 3 2 5 3" xfId="6391" xr:uid="{00000000-0005-0000-0000-00008E130000}"/>
    <cellStyle name="Normal 4 2 4 3 2 5 3 2" xfId="14833" xr:uid="{A169C6B9-9259-4966-A8F3-73E849322188}"/>
    <cellStyle name="Normal 4 2 4 3 2 5 4" xfId="10615" xr:uid="{6852889B-E203-4DB3-B330-03234F2969FB}"/>
    <cellStyle name="Normal 4 2 4 3 2 6" xfId="2520" xr:uid="{00000000-0005-0000-0000-00008F130000}"/>
    <cellStyle name="Normal 4 2 4 3 2 6 2" xfId="6804" xr:uid="{00000000-0005-0000-0000-000090130000}"/>
    <cellStyle name="Normal 4 2 4 3 2 6 2 2" xfId="15246" xr:uid="{21D2583F-7A62-40BD-B1FF-6A44AA0550DA}"/>
    <cellStyle name="Normal 4 2 4 3 2 6 3" xfId="11028" xr:uid="{2E763B62-C375-4294-9BEC-7A05044F2E60}"/>
    <cellStyle name="Normal 4 2 4 3 2 7" xfId="4739" xr:uid="{00000000-0005-0000-0000-000091130000}"/>
    <cellStyle name="Normal 4 2 4 3 2 7 2" xfId="13181" xr:uid="{1FA7E172-96D1-473E-9FB0-EA612B001961}"/>
    <cellStyle name="Normal 4 2 4 3 2 8" xfId="8963" xr:uid="{2F8FFDDE-D5E9-4CA7-9FD5-F2F0C694E63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55ED7721-4067-4513-9F64-03E34DDE0DB2}"/>
    <cellStyle name="Normal 4 2 4 3 3 2 3" xfId="11520" xr:uid="{4DE62612-8357-459C-86A9-A80C675167FB}"/>
    <cellStyle name="Normal 4 2 4 3 3 3" xfId="5151" xr:uid="{00000000-0005-0000-0000-000095130000}"/>
    <cellStyle name="Normal 4 2 4 3 3 3 2" xfId="13593" xr:uid="{9A2B6CB0-F12A-40BD-ADA0-C945696CC4DD}"/>
    <cellStyle name="Normal 4 2 4 3 3 4" xfId="9375" xr:uid="{66050288-C7AB-4B64-9566-F747CA34427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36B52664-DD90-4021-9F79-94926E842448}"/>
    <cellStyle name="Normal 4 2 4 3 4 2 3" xfId="11933" xr:uid="{AB9FF353-61C2-4AAE-BA32-CF12C86C3F7B}"/>
    <cellStyle name="Normal 4 2 4 3 4 3" xfId="5564" xr:uid="{00000000-0005-0000-0000-000099130000}"/>
    <cellStyle name="Normal 4 2 4 3 4 3 2" xfId="14006" xr:uid="{533B170A-68C8-46C3-BFAE-FF1799E0631D}"/>
    <cellStyle name="Normal 4 2 4 3 4 4" xfId="9788" xr:uid="{EAF0B3F4-618F-45EA-B7B9-E4DE7B5216C7}"/>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4A471414-DE48-455E-B6C3-01B6E434C92D}"/>
    <cellStyle name="Normal 4 2 4 3 5 2 3" xfId="12346" xr:uid="{F0EBBF7A-9A61-4346-93D8-7991BD1B5B2C}"/>
    <cellStyle name="Normal 4 2 4 3 5 3" xfId="5977" xr:uid="{00000000-0005-0000-0000-00009D130000}"/>
    <cellStyle name="Normal 4 2 4 3 5 3 2" xfId="14419" xr:uid="{01240762-DF74-48D0-8431-4A3203D8F34A}"/>
    <cellStyle name="Normal 4 2 4 3 5 4" xfId="10201" xr:uid="{D25A003F-B8EE-457D-A593-0EF45469CE34}"/>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E9242D64-113C-4F1B-91B1-90786A2EF374}"/>
    <cellStyle name="Normal 4 2 4 3 6 2 3" xfId="12759" xr:uid="{C500E715-177A-4F05-9427-838CFFA1704D}"/>
    <cellStyle name="Normal 4 2 4 3 6 3" xfId="6390" xr:uid="{00000000-0005-0000-0000-0000A1130000}"/>
    <cellStyle name="Normal 4 2 4 3 6 3 2" xfId="14832" xr:uid="{0928866E-33EE-4F55-8C40-FAE557F93267}"/>
    <cellStyle name="Normal 4 2 4 3 6 4" xfId="10614" xr:uid="{70F5F701-D5A2-4F80-BB52-1AAC229EFE14}"/>
    <cellStyle name="Normal 4 2 4 3 7" xfId="2519" xr:uid="{00000000-0005-0000-0000-0000A2130000}"/>
    <cellStyle name="Normal 4 2 4 3 7 2" xfId="6803" xr:uid="{00000000-0005-0000-0000-0000A3130000}"/>
    <cellStyle name="Normal 4 2 4 3 7 2 2" xfId="15245" xr:uid="{873BD005-E271-41A3-890B-21D448AF900C}"/>
    <cellStyle name="Normal 4 2 4 3 7 3" xfId="11027" xr:uid="{F22C8E0C-D77C-40B5-87FC-DAAE46FB0985}"/>
    <cellStyle name="Normal 4 2 4 3 8" xfId="4738" xr:uid="{00000000-0005-0000-0000-0000A4130000}"/>
    <cellStyle name="Normal 4 2 4 3 8 2" xfId="13180" xr:uid="{F6DAB260-8B92-448F-977B-038289776540}"/>
    <cellStyle name="Normal 4 2 4 3 9" xfId="8962" xr:uid="{D82E65BB-8FA6-4CE5-BBBC-4EE1F054BED2}"/>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FFAECBC1-0509-4C3E-AFAF-B45DAF031ABC}"/>
    <cellStyle name="Normal 4 2 4 4 2 2 3" xfId="11522" xr:uid="{9540231F-CDF6-42C4-8554-F56E8438CE96}"/>
    <cellStyle name="Normal 4 2 4 4 2 3" xfId="5153" xr:uid="{00000000-0005-0000-0000-0000A9130000}"/>
    <cellStyle name="Normal 4 2 4 4 2 3 2" xfId="13595" xr:uid="{A65B471F-4C15-442E-9F2F-AE692DC1FDE3}"/>
    <cellStyle name="Normal 4 2 4 4 2 4" xfId="9377" xr:uid="{A43FFB2D-6E25-4B20-ADD4-A23374CA74B7}"/>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E7B8F7BF-7286-42A2-B8B4-89F38F9B3E4A}"/>
    <cellStyle name="Normal 4 2 4 4 3 2 3" xfId="11935" xr:uid="{86CDEDFA-1D08-441B-8E67-82FB7633CB37}"/>
    <cellStyle name="Normal 4 2 4 4 3 3" xfId="5566" xr:uid="{00000000-0005-0000-0000-0000AD130000}"/>
    <cellStyle name="Normal 4 2 4 4 3 3 2" xfId="14008" xr:uid="{6FA6FAB3-E1E6-496E-8C14-091A9F7A659B}"/>
    <cellStyle name="Normal 4 2 4 4 3 4" xfId="9790" xr:uid="{D17106F5-9AB9-4AAB-B5DF-B7B0D5739766}"/>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6EF139B1-CDC7-4932-929A-76EEEFF61847}"/>
    <cellStyle name="Normal 4 2 4 4 4 2 3" xfId="12348" xr:uid="{97336267-3463-4898-899F-8A7E53DA4999}"/>
    <cellStyle name="Normal 4 2 4 4 4 3" xfId="5979" xr:uid="{00000000-0005-0000-0000-0000B1130000}"/>
    <cellStyle name="Normal 4 2 4 4 4 3 2" xfId="14421" xr:uid="{45D7AF5F-1B6D-48D6-8B15-D2435822B130}"/>
    <cellStyle name="Normal 4 2 4 4 4 4" xfId="10203" xr:uid="{5F3128D3-B09F-4FB3-A3BE-DFEE10A04F07}"/>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C2A6570E-5548-434F-92E3-86C27ABA070B}"/>
    <cellStyle name="Normal 4 2 4 4 5 2 3" xfId="12761" xr:uid="{B7A631AB-75DA-4499-A446-1EFE338DF7EF}"/>
    <cellStyle name="Normal 4 2 4 4 5 3" xfId="6392" xr:uid="{00000000-0005-0000-0000-0000B5130000}"/>
    <cellStyle name="Normal 4 2 4 4 5 3 2" xfId="14834" xr:uid="{238FEF86-C194-4B8E-909D-88DC3ACCD84A}"/>
    <cellStyle name="Normal 4 2 4 4 5 4" xfId="10616" xr:uid="{06F4E9E8-6CBC-4467-A1F7-44B961AB7152}"/>
    <cellStyle name="Normal 4 2 4 4 6" xfId="2521" xr:uid="{00000000-0005-0000-0000-0000B6130000}"/>
    <cellStyle name="Normal 4 2 4 4 6 2" xfId="6805" xr:uid="{00000000-0005-0000-0000-0000B7130000}"/>
    <cellStyle name="Normal 4 2 4 4 6 2 2" xfId="15247" xr:uid="{6454766E-306F-4F17-BBE5-AE5A15F47709}"/>
    <cellStyle name="Normal 4 2 4 4 6 3" xfId="11029" xr:uid="{45FD8592-6F26-4DBA-B89B-9F3C92B3B5EC}"/>
    <cellStyle name="Normal 4 2 4 4 7" xfId="4740" xr:uid="{00000000-0005-0000-0000-0000B8130000}"/>
    <cellStyle name="Normal 4 2 4 4 7 2" xfId="13182" xr:uid="{B452FD70-B244-4575-8E31-67B20B13DFD5}"/>
    <cellStyle name="Normal 4 2 4 4 8" xfId="8964" xr:uid="{C6DECB91-B2CC-498C-A9E1-9E5E226F1FF9}"/>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623E7869-5FDF-4DA4-A989-E4EDFDF54E6E}"/>
    <cellStyle name="Normal 4 2 4 5 2 3" xfId="11515" xr:uid="{CF46B69B-E93A-4DCC-8770-FB2F2B9352FD}"/>
    <cellStyle name="Normal 4 2 4 5 3" xfId="5146" xr:uid="{00000000-0005-0000-0000-0000BC130000}"/>
    <cellStyle name="Normal 4 2 4 5 3 2" xfId="13588" xr:uid="{4BC0C856-A2EF-4E21-A1B0-A7609C430CFE}"/>
    <cellStyle name="Normal 4 2 4 5 4" xfId="9370" xr:uid="{3C26CA75-00E7-4DFC-9FC7-C4D49D9B6ECC}"/>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1DBDD2B7-5BE5-4A75-9B9B-BC7564225598}"/>
    <cellStyle name="Normal 4 2 4 6 2 3" xfId="11928" xr:uid="{47ABE4B9-DA3A-4B0E-BFD6-F063D04AE50B}"/>
    <cellStyle name="Normal 4 2 4 6 3" xfId="5559" xr:uid="{00000000-0005-0000-0000-0000C0130000}"/>
    <cellStyle name="Normal 4 2 4 6 3 2" xfId="14001" xr:uid="{B12F5083-3983-47E7-890B-4E686AA7DBE1}"/>
    <cellStyle name="Normal 4 2 4 6 4" xfId="9783" xr:uid="{20511296-614B-4D39-AD64-020B1122BCCF}"/>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5B7F89B0-6D4D-4EE6-A0F3-8549B7473459}"/>
    <cellStyle name="Normal 4 2 4 7 2 3" xfId="12341" xr:uid="{67D90A0D-0BA2-4CBF-B162-92DC03F30A57}"/>
    <cellStyle name="Normal 4 2 4 7 3" xfId="5972" xr:uid="{00000000-0005-0000-0000-0000C4130000}"/>
    <cellStyle name="Normal 4 2 4 7 3 2" xfId="14414" xr:uid="{5766E447-4411-44D7-BC89-A1CC24301BE5}"/>
    <cellStyle name="Normal 4 2 4 7 4" xfId="10196" xr:uid="{E31F8A85-CEFF-46BC-8650-CF786582AC56}"/>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CEEE5E99-C10C-4FDE-A409-06414D4ACBB0}"/>
    <cellStyle name="Normal 4 2 4 8 2 3" xfId="12754" xr:uid="{DCBD12A6-CEA8-4DE5-B19B-FCA1ED5E459B}"/>
    <cellStyle name="Normal 4 2 4 8 3" xfId="6385" xr:uid="{00000000-0005-0000-0000-0000C8130000}"/>
    <cellStyle name="Normal 4 2 4 8 3 2" xfId="14827" xr:uid="{9C73AE04-8ACE-4568-9C4E-36B4DC3E53DE}"/>
    <cellStyle name="Normal 4 2 4 8 4" xfId="10609" xr:uid="{81145125-383C-4FCE-BFB1-AEEB14ABC9FC}"/>
    <cellStyle name="Normal 4 2 4 9" xfId="2514" xr:uid="{00000000-0005-0000-0000-0000C9130000}"/>
    <cellStyle name="Normal 4 2 4 9 2" xfId="6798" xr:uid="{00000000-0005-0000-0000-0000CA130000}"/>
    <cellStyle name="Normal 4 2 4 9 2 2" xfId="15240" xr:uid="{CB39828B-9F82-417B-B8A9-62553B8EAA16}"/>
    <cellStyle name="Normal 4 2 4 9 3" xfId="11022" xr:uid="{69DA7324-413E-4F4A-8007-AF4E73F5C8E9}"/>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F2E1A9DD-ACB3-4D7C-A0F8-BECA5DCDC4F1}"/>
    <cellStyle name="Normal 4 2 5 2 2 2 3" xfId="11524" xr:uid="{B119EFF5-9A57-44A3-BC8D-FFFBDEC2C98B}"/>
    <cellStyle name="Normal 4 2 5 2 2 3" xfId="5155" xr:uid="{00000000-0005-0000-0000-0000D0130000}"/>
    <cellStyle name="Normal 4 2 5 2 2 3 2" xfId="13597" xr:uid="{2A8C1D9F-2DF1-42D2-9F5A-34FA1A1FDB04}"/>
    <cellStyle name="Normal 4 2 5 2 2 4" xfId="9379" xr:uid="{F090E178-0892-4D97-8FB4-C7F62A00A945}"/>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0719D5B8-E4F8-4CE2-B152-20CD96F09D1B}"/>
    <cellStyle name="Normal 4 2 5 2 3 2 3" xfId="11937" xr:uid="{806F73D7-9AE5-42C1-A103-E1B1D3DD39F0}"/>
    <cellStyle name="Normal 4 2 5 2 3 3" xfId="5568" xr:uid="{00000000-0005-0000-0000-0000D4130000}"/>
    <cellStyle name="Normal 4 2 5 2 3 3 2" xfId="14010" xr:uid="{2B8687C6-BF46-4E59-9433-B7EDB1CD4536}"/>
    <cellStyle name="Normal 4 2 5 2 3 4" xfId="9792" xr:uid="{46C06289-EE41-4C47-A323-D8556C364B4D}"/>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B05FDE13-9A41-43CA-8AD0-960A7788A451}"/>
    <cellStyle name="Normal 4 2 5 2 4 2 3" xfId="12350" xr:uid="{5F63B212-19AC-4E23-B345-07E9C93372D8}"/>
    <cellStyle name="Normal 4 2 5 2 4 3" xfId="5981" xr:uid="{00000000-0005-0000-0000-0000D8130000}"/>
    <cellStyle name="Normal 4 2 5 2 4 3 2" xfId="14423" xr:uid="{22BCA6AD-E3CC-4AC3-8B3C-D496BB644FF8}"/>
    <cellStyle name="Normal 4 2 5 2 4 4" xfId="10205" xr:uid="{922E7B34-C88F-4CEA-A7DE-F6DEBB3279E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8DF54A34-F239-46E6-846C-D6F8EF866E2A}"/>
    <cellStyle name="Normal 4 2 5 2 5 2 3" xfId="12763" xr:uid="{FE57BAD7-7E30-4B63-AE0E-29E014841209}"/>
    <cellStyle name="Normal 4 2 5 2 5 3" xfId="6394" xr:uid="{00000000-0005-0000-0000-0000DC130000}"/>
    <cellStyle name="Normal 4 2 5 2 5 3 2" xfId="14836" xr:uid="{5B9EEF74-2D13-49DA-81B7-371FFDE4912F}"/>
    <cellStyle name="Normal 4 2 5 2 5 4" xfId="10618" xr:uid="{7957D945-A4B7-49C1-A276-464CB6861D09}"/>
    <cellStyle name="Normal 4 2 5 2 6" xfId="2523" xr:uid="{00000000-0005-0000-0000-0000DD130000}"/>
    <cellStyle name="Normal 4 2 5 2 6 2" xfId="6807" xr:uid="{00000000-0005-0000-0000-0000DE130000}"/>
    <cellStyle name="Normal 4 2 5 2 6 2 2" xfId="15249" xr:uid="{38E99077-9C0C-42F5-9434-37C12618E25D}"/>
    <cellStyle name="Normal 4 2 5 2 6 3" xfId="11031" xr:uid="{E6C9E476-B33B-4D1C-9956-2F13665BC46D}"/>
    <cellStyle name="Normal 4 2 5 2 7" xfId="4742" xr:uid="{00000000-0005-0000-0000-0000DF130000}"/>
    <cellStyle name="Normal 4 2 5 2 7 2" xfId="13184" xr:uid="{E33BD080-FC6C-4827-A30B-2F1AE3A532F5}"/>
    <cellStyle name="Normal 4 2 5 2 8" xfId="8966" xr:uid="{5AA814EB-8060-4A2F-B505-2406A9D9760E}"/>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A1A59741-0723-40E7-8BF1-ACA3CF2993BB}"/>
    <cellStyle name="Normal 4 2 5 3 2 3" xfId="11523" xr:uid="{24254107-5604-4BAC-846E-B33206010FEE}"/>
    <cellStyle name="Normal 4 2 5 3 3" xfId="5154" xr:uid="{00000000-0005-0000-0000-0000E3130000}"/>
    <cellStyle name="Normal 4 2 5 3 3 2" xfId="13596" xr:uid="{8BCAECC2-2B33-470D-93C5-F49BD00C7F9E}"/>
    <cellStyle name="Normal 4 2 5 3 4" xfId="9378" xr:uid="{DFBB3E8D-ABB1-4FDC-BB1A-48E254789681}"/>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CF7D81BA-2430-47FF-9C48-2822C02AD477}"/>
    <cellStyle name="Normal 4 2 5 4 2 3" xfId="11936" xr:uid="{AEAE0A56-CB71-4DC1-9181-5E546A4FBEEF}"/>
    <cellStyle name="Normal 4 2 5 4 3" xfId="5567" xr:uid="{00000000-0005-0000-0000-0000E7130000}"/>
    <cellStyle name="Normal 4 2 5 4 3 2" xfId="14009" xr:uid="{DCDAA770-349C-4489-9459-6A061B4B9177}"/>
    <cellStyle name="Normal 4 2 5 4 4" xfId="9791" xr:uid="{7C87D1B3-F481-4100-9F90-6900526E33CB}"/>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ED2C8020-A98B-4B0D-A6C3-13C52626A52E}"/>
    <cellStyle name="Normal 4 2 5 5 2 3" xfId="12349" xr:uid="{A6FF459C-4F6A-4278-B7D9-C1CAA0CC5EF5}"/>
    <cellStyle name="Normal 4 2 5 5 3" xfId="5980" xr:uid="{00000000-0005-0000-0000-0000EB130000}"/>
    <cellStyle name="Normal 4 2 5 5 3 2" xfId="14422" xr:uid="{2DDCA8B5-69C4-4EF3-9373-431B0E6EC055}"/>
    <cellStyle name="Normal 4 2 5 5 4" xfId="10204" xr:uid="{EFAAF1B3-AC7D-4799-B42A-F4095E432B72}"/>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0A195A64-DDF6-4B75-931E-7E480B165116}"/>
    <cellStyle name="Normal 4 2 5 6 2 3" xfId="12762" xr:uid="{22674C20-7F7F-4108-8FA4-BC0605B06426}"/>
    <cellStyle name="Normal 4 2 5 6 3" xfId="6393" xr:uid="{00000000-0005-0000-0000-0000EF130000}"/>
    <cellStyle name="Normal 4 2 5 6 3 2" xfId="14835" xr:uid="{F86BD929-C6BF-40C1-9B2E-F04FEE66A94E}"/>
    <cellStyle name="Normal 4 2 5 6 4" xfId="10617" xr:uid="{78376C6A-B2A5-4C13-9304-60F7967D41DF}"/>
    <cellStyle name="Normal 4 2 5 7" xfId="2522" xr:uid="{00000000-0005-0000-0000-0000F0130000}"/>
    <cellStyle name="Normal 4 2 5 7 2" xfId="6806" xr:uid="{00000000-0005-0000-0000-0000F1130000}"/>
    <cellStyle name="Normal 4 2 5 7 2 2" xfId="15248" xr:uid="{6B068A32-E984-44FF-AEDD-4C83A116A74A}"/>
    <cellStyle name="Normal 4 2 5 7 3" xfId="11030" xr:uid="{37251280-FD06-4521-905F-9723C5DD525C}"/>
    <cellStyle name="Normal 4 2 5 8" xfId="4741" xr:uid="{00000000-0005-0000-0000-0000F2130000}"/>
    <cellStyle name="Normal 4 2 5 8 2" xfId="13183" xr:uid="{5D7C45C1-A993-40E4-B70D-BD3E07EA8FCA}"/>
    <cellStyle name="Normal 4 2 5 9" xfId="8965" xr:uid="{DE72F623-BA13-433C-A1DF-D6ECA620753D}"/>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96CB78EE-EEB7-4266-BFB6-31CBB110FA87}"/>
    <cellStyle name="Normal 4 2 6 2 2 3" xfId="11525" xr:uid="{6D4B6722-B2B7-401C-9B64-C12F0003D227}"/>
    <cellStyle name="Normal 4 2 6 2 3" xfId="5156" xr:uid="{00000000-0005-0000-0000-0000F7130000}"/>
    <cellStyle name="Normal 4 2 6 2 3 2" xfId="13598" xr:uid="{386B129E-A076-4D18-9018-BA1AB9A68FF9}"/>
    <cellStyle name="Normal 4 2 6 2 4" xfId="9380" xr:uid="{737CDE68-CA08-40E9-AE2E-AFE149BE60E1}"/>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AEF03C06-505A-4984-9D93-8021E7D36462}"/>
    <cellStyle name="Normal 4 2 6 3 2 3" xfId="11938" xr:uid="{5D6553BD-B6BE-4019-9C39-A5DDA28BAF10}"/>
    <cellStyle name="Normal 4 2 6 3 3" xfId="5569" xr:uid="{00000000-0005-0000-0000-0000FB130000}"/>
    <cellStyle name="Normal 4 2 6 3 3 2" xfId="14011" xr:uid="{6A597ABB-465A-472A-B780-63F213F6380C}"/>
    <cellStyle name="Normal 4 2 6 3 4" xfId="9793" xr:uid="{55122F63-0AC8-488C-8BB2-9CB812D05A3C}"/>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E42D9A2B-44FC-4562-BB82-6E01EC31C9A9}"/>
    <cellStyle name="Normal 4 2 6 4 2 3" xfId="12351" xr:uid="{C9645E4B-5C64-4907-A6BA-0134AD03B0ED}"/>
    <cellStyle name="Normal 4 2 6 4 3" xfId="5982" xr:uid="{00000000-0005-0000-0000-0000FF130000}"/>
    <cellStyle name="Normal 4 2 6 4 3 2" xfId="14424" xr:uid="{A8FA064A-8516-4438-ABFF-8471093F7A92}"/>
    <cellStyle name="Normal 4 2 6 4 4" xfId="10206" xr:uid="{B8E87015-9321-41B8-9698-8C0775C9D49D}"/>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FFDB265A-E3F1-49B5-AD0B-CE23A40ED8C9}"/>
    <cellStyle name="Normal 4 2 6 5 2 3" xfId="12764" xr:uid="{535CE68A-3E33-40A7-9889-4DACB0405C49}"/>
    <cellStyle name="Normal 4 2 6 5 3" xfId="6395" xr:uid="{00000000-0005-0000-0000-000003140000}"/>
    <cellStyle name="Normal 4 2 6 5 3 2" xfId="14837" xr:uid="{3EDF2236-06A1-4CC5-B999-4AF1BE2AAD1E}"/>
    <cellStyle name="Normal 4 2 6 5 4" xfId="10619" xr:uid="{663C0D8E-24C5-434F-B609-46A8480C0FBF}"/>
    <cellStyle name="Normal 4 2 6 6" xfId="2524" xr:uid="{00000000-0005-0000-0000-000004140000}"/>
    <cellStyle name="Normal 4 2 6 6 2" xfId="6808" xr:uid="{00000000-0005-0000-0000-000005140000}"/>
    <cellStyle name="Normal 4 2 6 6 2 2" xfId="15250" xr:uid="{70C0CC5B-DF66-4F9F-9770-CD409A604289}"/>
    <cellStyle name="Normal 4 2 6 6 3" xfId="11032" xr:uid="{19EAFF98-D31A-4427-869C-449AD9F6E9DD}"/>
    <cellStyle name="Normal 4 2 6 7" xfId="4743" xr:uid="{00000000-0005-0000-0000-000006140000}"/>
    <cellStyle name="Normal 4 2 6 7 2" xfId="13185" xr:uid="{EF4D3E94-93B1-4F82-B3E5-320CA20E83D4}"/>
    <cellStyle name="Normal 4 2 6 8" xfId="8967" xr:uid="{B0DE158C-7A11-45B8-88C7-AB0DFE3626F9}"/>
    <cellStyle name="Normal 4 3" xfId="366" xr:uid="{00000000-0005-0000-0000-000007140000}"/>
    <cellStyle name="Normal 4 3 10" xfId="8968" xr:uid="{7BA68999-45E5-4832-8818-BB7B8BD99D16}"/>
    <cellStyle name="Normal 4 3 2" xfId="367" xr:uid="{00000000-0005-0000-0000-000008140000}"/>
    <cellStyle name="Normal 4 3 2 2" xfId="368" xr:uid="{00000000-0005-0000-0000-000009140000}"/>
    <cellStyle name="Normal 4 3 2 2 2" xfId="369" xr:uid="{00000000-0005-0000-0000-00000A140000}"/>
    <cellStyle name="Normal 4 3 2 2 2 10" xfId="8969" xr:uid="{DE47852E-51CB-4E67-9CAB-53E4B61706A5}"/>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5691349A-76A7-4F4B-B267-F7FF12B8D840}"/>
    <cellStyle name="Normal 4 3 2 2 2 2 2 2 2 3" xfId="11529" xr:uid="{ADF8A6AA-F6EE-4123-90A1-D8173BBCF807}"/>
    <cellStyle name="Normal 4 3 2 2 2 2 2 2 3" xfId="5160" xr:uid="{00000000-0005-0000-0000-000010140000}"/>
    <cellStyle name="Normal 4 3 2 2 2 2 2 2 3 2" xfId="13602" xr:uid="{D53FB673-0A93-4F92-B31C-ADDBD6A6BF85}"/>
    <cellStyle name="Normal 4 3 2 2 2 2 2 2 4" xfId="9384" xr:uid="{5196AD50-FF8F-4EFF-9F6F-F4A5DFF8B3E3}"/>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BC8C8006-58D0-4905-903F-C29966E6C1D0}"/>
    <cellStyle name="Normal 4 3 2 2 2 2 2 3 2 3" xfId="11942" xr:uid="{14CAC284-2B26-4F5C-B7E7-1724AD8EFADD}"/>
    <cellStyle name="Normal 4 3 2 2 2 2 2 3 3" xfId="5573" xr:uid="{00000000-0005-0000-0000-000014140000}"/>
    <cellStyle name="Normal 4 3 2 2 2 2 2 3 3 2" xfId="14015" xr:uid="{3B35BD97-5EB7-4343-BB97-E725A6EC1214}"/>
    <cellStyle name="Normal 4 3 2 2 2 2 2 3 4" xfId="9797" xr:uid="{E10D7D54-2918-4BC5-844F-CC5523A77ABF}"/>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7F7B19BC-F1C6-452B-B2C1-3AB7E2F9D453}"/>
    <cellStyle name="Normal 4 3 2 2 2 2 2 4 2 3" xfId="12355" xr:uid="{F3F9DE90-CC59-4A73-9B26-16E7E9349B53}"/>
    <cellStyle name="Normal 4 3 2 2 2 2 2 4 3" xfId="5986" xr:uid="{00000000-0005-0000-0000-000018140000}"/>
    <cellStyle name="Normal 4 3 2 2 2 2 2 4 3 2" xfId="14428" xr:uid="{B91B4DA3-15AD-4B4E-818E-A69950532483}"/>
    <cellStyle name="Normal 4 3 2 2 2 2 2 4 4" xfId="10210" xr:uid="{64A08A9E-AD0A-4B02-94F8-DD7CF7AE4CC9}"/>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F1E1E56B-7692-4DCA-BE85-B951FABF0476}"/>
    <cellStyle name="Normal 4 3 2 2 2 2 2 5 2 3" xfId="12768" xr:uid="{FE2FE45D-4766-4229-B00A-27E7FEC90EC0}"/>
    <cellStyle name="Normal 4 3 2 2 2 2 2 5 3" xfId="6399" xr:uid="{00000000-0005-0000-0000-00001C140000}"/>
    <cellStyle name="Normal 4 3 2 2 2 2 2 5 3 2" xfId="14841" xr:uid="{0E0AFBE6-AEE0-44A2-B545-4E5C87B14057}"/>
    <cellStyle name="Normal 4 3 2 2 2 2 2 5 4" xfId="10623" xr:uid="{7F3F61A5-C185-40F2-9EC6-F3AE8D793540}"/>
    <cellStyle name="Normal 4 3 2 2 2 2 2 6" xfId="2528" xr:uid="{00000000-0005-0000-0000-00001D140000}"/>
    <cellStyle name="Normal 4 3 2 2 2 2 2 6 2" xfId="6812" xr:uid="{00000000-0005-0000-0000-00001E140000}"/>
    <cellStyle name="Normal 4 3 2 2 2 2 2 6 2 2" xfId="15254" xr:uid="{623D828D-C721-4C02-BC42-C2911D1656A6}"/>
    <cellStyle name="Normal 4 3 2 2 2 2 2 6 3" xfId="11036" xr:uid="{1CF1B586-2E75-429D-96F3-0F2600E64DD7}"/>
    <cellStyle name="Normal 4 3 2 2 2 2 2 7" xfId="4747" xr:uid="{00000000-0005-0000-0000-00001F140000}"/>
    <cellStyle name="Normal 4 3 2 2 2 2 2 7 2" xfId="13189" xr:uid="{A44376BC-A748-42DC-BAFF-CC3EAEBB0B4C}"/>
    <cellStyle name="Normal 4 3 2 2 2 2 2 8" xfId="8971" xr:uid="{1074EE6B-B0DD-46ED-8F6D-8C5BDDC57E6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7EFF21F0-0F0D-4CA1-A513-D8742DEDBD08}"/>
    <cellStyle name="Normal 4 3 2 2 2 2 3 2 3" xfId="11528" xr:uid="{4B492E0C-2DCA-4EF5-91D0-2701235C8E2A}"/>
    <cellStyle name="Normal 4 3 2 2 2 2 3 3" xfId="5159" xr:uid="{00000000-0005-0000-0000-000023140000}"/>
    <cellStyle name="Normal 4 3 2 2 2 2 3 3 2" xfId="13601" xr:uid="{12073931-B9DA-4DBA-A0FC-9A70AFF1F9C4}"/>
    <cellStyle name="Normal 4 3 2 2 2 2 3 4" xfId="9383" xr:uid="{4E5AC80C-4F1A-4FEE-A5A8-F5E3F990313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0BB2468F-C84F-4C5D-9D94-C50A9168A668}"/>
    <cellStyle name="Normal 4 3 2 2 2 2 4 2 3" xfId="11941" xr:uid="{AD12C48B-48E6-4964-A05D-02A9F3772107}"/>
    <cellStyle name="Normal 4 3 2 2 2 2 4 3" xfId="5572" xr:uid="{00000000-0005-0000-0000-000027140000}"/>
    <cellStyle name="Normal 4 3 2 2 2 2 4 3 2" xfId="14014" xr:uid="{50502C3B-7A01-4F52-98B0-E4F31D4E2DC2}"/>
    <cellStyle name="Normal 4 3 2 2 2 2 4 4" xfId="9796" xr:uid="{D79D0665-A915-458A-8DD7-44BD3FA70FFD}"/>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75E175E6-CB9A-4FF5-A319-FF48DFB5D219}"/>
    <cellStyle name="Normal 4 3 2 2 2 2 5 2 3" xfId="12354" xr:uid="{706D9E15-EBF2-4B6B-8ECF-85DA86B8635C}"/>
    <cellStyle name="Normal 4 3 2 2 2 2 5 3" xfId="5985" xr:uid="{00000000-0005-0000-0000-00002B140000}"/>
    <cellStyle name="Normal 4 3 2 2 2 2 5 3 2" xfId="14427" xr:uid="{BE558142-3154-4D3B-9DD8-DB0A09BF1D28}"/>
    <cellStyle name="Normal 4 3 2 2 2 2 5 4" xfId="10209" xr:uid="{440D8F10-983A-4237-A914-DBC4B145660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9D2B6DE2-910F-40E1-A9C9-265AC4FA4543}"/>
    <cellStyle name="Normal 4 3 2 2 2 2 6 2 3" xfId="12767" xr:uid="{10D84A48-BEFA-4969-AE36-E5E2F43D8C21}"/>
    <cellStyle name="Normal 4 3 2 2 2 2 6 3" xfId="6398" xr:uid="{00000000-0005-0000-0000-00002F140000}"/>
    <cellStyle name="Normal 4 3 2 2 2 2 6 3 2" xfId="14840" xr:uid="{C0112E6E-7089-4547-9F42-F28237CD54F8}"/>
    <cellStyle name="Normal 4 3 2 2 2 2 6 4" xfId="10622" xr:uid="{5D35E20F-B4E9-473F-9B3D-D5A28DAFDCA5}"/>
    <cellStyle name="Normal 4 3 2 2 2 2 7" xfId="2527" xr:uid="{00000000-0005-0000-0000-000030140000}"/>
    <cellStyle name="Normal 4 3 2 2 2 2 7 2" xfId="6811" xr:uid="{00000000-0005-0000-0000-000031140000}"/>
    <cellStyle name="Normal 4 3 2 2 2 2 7 2 2" xfId="15253" xr:uid="{5D97A72E-FEA1-4AA9-B3F5-A777FF0DEE2C}"/>
    <cellStyle name="Normal 4 3 2 2 2 2 7 3" xfId="11035" xr:uid="{B7B8FDFB-72B0-4A5E-A463-374D9123EBF4}"/>
    <cellStyle name="Normal 4 3 2 2 2 2 8" xfId="4746" xr:uid="{00000000-0005-0000-0000-000032140000}"/>
    <cellStyle name="Normal 4 3 2 2 2 2 8 2" xfId="13188" xr:uid="{E40D424B-27CD-49C9-BBC7-B489327E63C9}"/>
    <cellStyle name="Normal 4 3 2 2 2 2 9" xfId="8970" xr:uid="{FBCCDE9D-BCA4-4FEC-9A17-DA56EA485501}"/>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A7D78A2A-0299-476E-B58C-2F63679667CA}"/>
    <cellStyle name="Normal 4 3 2 2 2 3 2 2 3" xfId="11530" xr:uid="{F6894FD7-A75B-44EE-AE28-BCFEC9C5210C}"/>
    <cellStyle name="Normal 4 3 2 2 2 3 2 3" xfId="5161" xr:uid="{00000000-0005-0000-0000-000037140000}"/>
    <cellStyle name="Normal 4 3 2 2 2 3 2 3 2" xfId="13603" xr:uid="{A6C9DA64-70D4-48B2-A9DD-0CFF3721D542}"/>
    <cellStyle name="Normal 4 3 2 2 2 3 2 4" xfId="9385" xr:uid="{D9FF8EA0-AC61-4494-A08F-380406842111}"/>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9D0E5098-44C7-4100-95EF-FB6D67803825}"/>
    <cellStyle name="Normal 4 3 2 2 2 3 3 2 3" xfId="11943" xr:uid="{A71BBCE9-42CD-4879-9FAA-55B6DF9B9721}"/>
    <cellStyle name="Normal 4 3 2 2 2 3 3 3" xfId="5574" xr:uid="{00000000-0005-0000-0000-00003B140000}"/>
    <cellStyle name="Normal 4 3 2 2 2 3 3 3 2" xfId="14016" xr:uid="{4B06D3B8-15AF-4FD0-8DE4-811D028A5FF9}"/>
    <cellStyle name="Normal 4 3 2 2 2 3 3 4" xfId="9798" xr:uid="{AE082556-7441-4114-ACAF-0BB112F37343}"/>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9330DCF2-D790-4213-989A-8732B1CA402C}"/>
    <cellStyle name="Normal 4 3 2 2 2 3 4 2 3" xfId="12356" xr:uid="{21B9A77F-71EE-43CC-954D-E289C3BC1400}"/>
    <cellStyle name="Normal 4 3 2 2 2 3 4 3" xfId="5987" xr:uid="{00000000-0005-0000-0000-00003F140000}"/>
    <cellStyle name="Normal 4 3 2 2 2 3 4 3 2" xfId="14429" xr:uid="{0A731574-50F6-479B-B20B-2BC26653AEBA}"/>
    <cellStyle name="Normal 4 3 2 2 2 3 4 4" xfId="10211" xr:uid="{5A965FCC-2E69-439C-BF45-363489EB7F7B}"/>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32EC01C9-19B9-4BF8-BB92-FFD1A182AB45}"/>
    <cellStyle name="Normal 4 3 2 2 2 3 5 2 3" xfId="12769" xr:uid="{0CEB9FCE-C23B-4A8C-BEDC-4244D4536C02}"/>
    <cellStyle name="Normal 4 3 2 2 2 3 5 3" xfId="6400" xr:uid="{00000000-0005-0000-0000-000043140000}"/>
    <cellStyle name="Normal 4 3 2 2 2 3 5 3 2" xfId="14842" xr:uid="{B8CF81A8-53B7-4865-A369-DB98315D33B8}"/>
    <cellStyle name="Normal 4 3 2 2 2 3 5 4" xfId="10624" xr:uid="{DB50A11D-568F-4885-B4A6-C4C3948F2C63}"/>
    <cellStyle name="Normal 4 3 2 2 2 3 6" xfId="2529" xr:uid="{00000000-0005-0000-0000-000044140000}"/>
    <cellStyle name="Normal 4 3 2 2 2 3 6 2" xfId="6813" xr:uid="{00000000-0005-0000-0000-000045140000}"/>
    <cellStyle name="Normal 4 3 2 2 2 3 6 2 2" xfId="15255" xr:uid="{E8455857-49D4-49FC-BEA8-EF436AF63DC3}"/>
    <cellStyle name="Normal 4 3 2 2 2 3 6 3" xfId="11037" xr:uid="{631A4F58-F3A5-492B-9D33-4619DF5EB165}"/>
    <cellStyle name="Normal 4 3 2 2 2 3 7" xfId="4748" xr:uid="{00000000-0005-0000-0000-000046140000}"/>
    <cellStyle name="Normal 4 3 2 2 2 3 7 2" xfId="13190" xr:uid="{FE8E324F-C7EA-41E5-8625-D53FD101A668}"/>
    <cellStyle name="Normal 4 3 2 2 2 3 8" xfId="8972" xr:uid="{C0EEEBA1-5D88-46A1-83A8-E824073B61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2614A124-E411-4CB5-A6FB-55F19EFF9506}"/>
    <cellStyle name="Normal 4 3 2 2 2 4 2 3" xfId="11527" xr:uid="{7B8E6183-57AF-4752-8E18-F0720D5A2CA3}"/>
    <cellStyle name="Normal 4 3 2 2 2 4 3" xfId="5158" xr:uid="{00000000-0005-0000-0000-00004A140000}"/>
    <cellStyle name="Normal 4 3 2 2 2 4 3 2" xfId="13600" xr:uid="{52186ADB-552E-4009-9F35-C9A054D4A723}"/>
    <cellStyle name="Normal 4 3 2 2 2 4 4" xfId="9382" xr:uid="{E06B2E30-11F8-4EC7-BDF8-A51FB2EE011A}"/>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4D4080A5-4B8B-4149-B1C0-F25EE3445ADC}"/>
    <cellStyle name="Normal 4 3 2 2 2 5 2 3" xfId="11940" xr:uid="{DC68F4FD-EFD4-4394-A622-396D55AA188B}"/>
    <cellStyle name="Normal 4 3 2 2 2 5 3" xfId="5571" xr:uid="{00000000-0005-0000-0000-00004E140000}"/>
    <cellStyle name="Normal 4 3 2 2 2 5 3 2" xfId="14013" xr:uid="{D96754BF-B775-4DFE-9590-1A9DDBB196B6}"/>
    <cellStyle name="Normal 4 3 2 2 2 5 4" xfId="9795" xr:uid="{567E232F-BD23-4BDE-9FE0-CC23117F9249}"/>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9DB1B7AB-FE8E-43F7-B3DA-C1A78381D88B}"/>
    <cellStyle name="Normal 4 3 2 2 2 6 2 3" xfId="12353" xr:uid="{7EFC4BDC-ADDA-4A73-91A6-D8D9CC62BF04}"/>
    <cellStyle name="Normal 4 3 2 2 2 6 3" xfId="5984" xr:uid="{00000000-0005-0000-0000-000052140000}"/>
    <cellStyle name="Normal 4 3 2 2 2 6 3 2" xfId="14426" xr:uid="{BAB47D80-4C65-4E43-8E1D-BB197E6B4FB1}"/>
    <cellStyle name="Normal 4 3 2 2 2 6 4" xfId="10208" xr:uid="{46B61E0B-9186-40C8-A7B3-4D579B8A101A}"/>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CA1CD13B-FD48-49FD-A9A7-BEDC5F4C1111}"/>
    <cellStyle name="Normal 4 3 2 2 2 7 2 3" xfId="12766" xr:uid="{AB5B71CC-25A4-4795-8A80-D2C5E88E9638}"/>
    <cellStyle name="Normal 4 3 2 2 2 7 3" xfId="6397" xr:uid="{00000000-0005-0000-0000-000056140000}"/>
    <cellStyle name="Normal 4 3 2 2 2 7 3 2" xfId="14839" xr:uid="{07CB2FD2-8201-4195-BDD6-1546D34A5593}"/>
    <cellStyle name="Normal 4 3 2 2 2 7 4" xfId="10621" xr:uid="{6DEAD80D-2E47-4486-BBFF-4BA816EFF77B}"/>
    <cellStyle name="Normal 4 3 2 2 2 8" xfId="2526" xr:uid="{00000000-0005-0000-0000-000057140000}"/>
    <cellStyle name="Normal 4 3 2 2 2 8 2" xfId="6810" xr:uid="{00000000-0005-0000-0000-000058140000}"/>
    <cellStyle name="Normal 4 3 2 2 2 8 2 2" xfId="15252" xr:uid="{C3F6F809-3E87-45F8-B2B2-D92B74CCBA87}"/>
    <cellStyle name="Normal 4 3 2 2 2 8 3" xfId="11034" xr:uid="{77337DC6-7DDD-4536-8393-2462AE183E02}"/>
    <cellStyle name="Normal 4 3 2 2 2 9" xfId="4745" xr:uid="{00000000-0005-0000-0000-000059140000}"/>
    <cellStyle name="Normal 4 3 2 2 2 9 2" xfId="13187" xr:uid="{F9C04DAB-9165-4D12-8B1E-506F48A89BC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5AB225EC-5966-42F9-A9B7-8912F1FB6F18}"/>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10BC946B-53E1-4E30-8AA9-65DDAAB5FB64}"/>
    <cellStyle name="Normal 4 3 3 2 2 2 2 3" xfId="11533" xr:uid="{1EC9F5CB-1B03-4FEE-B9BB-19D56D2BA9CF}"/>
    <cellStyle name="Normal 4 3 3 2 2 2 3" xfId="5164" xr:uid="{00000000-0005-0000-0000-000063140000}"/>
    <cellStyle name="Normal 4 3 3 2 2 2 3 2" xfId="13606" xr:uid="{3DBD9128-AD0A-49D5-9B77-7EC955D03D50}"/>
    <cellStyle name="Normal 4 3 3 2 2 2 4" xfId="9388" xr:uid="{A728DA31-E522-425B-91F7-FF77E599AEA1}"/>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182D09B4-78F2-41CD-B729-F382F04542F0}"/>
    <cellStyle name="Normal 4 3 3 2 2 3 2 3" xfId="11946" xr:uid="{13B6A680-F511-452F-9005-3CE2C3E9ADEE}"/>
    <cellStyle name="Normal 4 3 3 2 2 3 3" xfId="5577" xr:uid="{00000000-0005-0000-0000-000067140000}"/>
    <cellStyle name="Normal 4 3 3 2 2 3 3 2" xfId="14019" xr:uid="{63582116-66DC-4150-B83F-9C6F9FFACDFE}"/>
    <cellStyle name="Normal 4 3 3 2 2 3 4" xfId="9801" xr:uid="{14D51F82-5F31-47FC-9595-1A5AD70D899A}"/>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FB7D2D68-DFB6-45FF-B72E-F9431B82C45D}"/>
    <cellStyle name="Normal 4 3 3 2 2 4 2 3" xfId="12359" xr:uid="{E41EB558-DD65-4A3B-A3F6-09F0709578A3}"/>
    <cellStyle name="Normal 4 3 3 2 2 4 3" xfId="5990" xr:uid="{00000000-0005-0000-0000-00006B140000}"/>
    <cellStyle name="Normal 4 3 3 2 2 4 3 2" xfId="14432" xr:uid="{28A61DCE-2AE0-4973-98E8-AB15BD3267B6}"/>
    <cellStyle name="Normal 4 3 3 2 2 4 4" xfId="10214" xr:uid="{44BEAC44-9DA6-496D-ACB5-7E35F6E6C6D9}"/>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E94EAB46-3686-42C8-BA2E-C78900FA85F8}"/>
    <cellStyle name="Normal 4 3 3 2 2 5 2 3" xfId="12772" xr:uid="{2A4D2F29-56D0-480B-8B19-FD797AA447D4}"/>
    <cellStyle name="Normal 4 3 3 2 2 5 3" xfId="6403" xr:uid="{00000000-0005-0000-0000-00006F140000}"/>
    <cellStyle name="Normal 4 3 3 2 2 5 3 2" xfId="14845" xr:uid="{A5823878-67ED-4199-8C70-6667E73014E7}"/>
    <cellStyle name="Normal 4 3 3 2 2 5 4" xfId="10627" xr:uid="{B30FFDCA-0FE1-4500-8829-E5C06832E875}"/>
    <cellStyle name="Normal 4 3 3 2 2 6" xfId="2532" xr:uid="{00000000-0005-0000-0000-000070140000}"/>
    <cellStyle name="Normal 4 3 3 2 2 6 2" xfId="6816" xr:uid="{00000000-0005-0000-0000-000071140000}"/>
    <cellStyle name="Normal 4 3 3 2 2 6 2 2" xfId="15258" xr:uid="{58EE58D2-8119-46F2-A0ED-5AFB496BD963}"/>
    <cellStyle name="Normal 4 3 3 2 2 6 3" xfId="11040" xr:uid="{9C3D6B10-3BC6-4EBF-97FC-C9E840C79A19}"/>
    <cellStyle name="Normal 4 3 3 2 2 7" xfId="4751" xr:uid="{00000000-0005-0000-0000-000072140000}"/>
    <cellStyle name="Normal 4 3 3 2 2 7 2" xfId="13193" xr:uid="{483C48B8-9BB9-4925-95D5-C2044039DF44}"/>
    <cellStyle name="Normal 4 3 3 2 2 8" xfId="8975" xr:uid="{E42F68D7-B16E-42BB-A87F-DE73DF38E60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BB891752-A2B7-42CA-928C-E1BDF0ABEDB5}"/>
    <cellStyle name="Normal 4 3 3 2 3 2 3" xfId="11532" xr:uid="{7E99395E-0BF7-44CB-B777-E1571FB05697}"/>
    <cellStyle name="Normal 4 3 3 2 3 3" xfId="5163" xr:uid="{00000000-0005-0000-0000-000076140000}"/>
    <cellStyle name="Normal 4 3 3 2 3 3 2" xfId="13605" xr:uid="{C6385901-BB11-4F81-AF23-A6CC39E8BF61}"/>
    <cellStyle name="Normal 4 3 3 2 3 4" xfId="9387" xr:uid="{32BDE905-7E21-46E9-AD67-64655403E9A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B3DC9D6D-2DE9-46E7-B1ED-B287FFFCCF5B}"/>
    <cellStyle name="Normal 4 3 3 2 4 2 3" xfId="11945" xr:uid="{F9569A06-556E-47C5-974E-45768FBA5FD3}"/>
    <cellStyle name="Normal 4 3 3 2 4 3" xfId="5576" xr:uid="{00000000-0005-0000-0000-00007A140000}"/>
    <cellStyle name="Normal 4 3 3 2 4 3 2" xfId="14018" xr:uid="{5FF952BC-A4C2-404D-9BA8-8A1FD9DE1F5C}"/>
    <cellStyle name="Normal 4 3 3 2 4 4" xfId="9800" xr:uid="{86BE16DD-88DE-4D8E-83EC-A9A8D57BFC87}"/>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0C92F34B-745D-4D93-A3CF-09B406CDFAB1}"/>
    <cellStyle name="Normal 4 3 3 2 5 2 3" xfId="12358" xr:uid="{F9730B95-2472-404E-86A8-8AC737F5FA6E}"/>
    <cellStyle name="Normal 4 3 3 2 5 3" xfId="5989" xr:uid="{00000000-0005-0000-0000-00007E140000}"/>
    <cellStyle name="Normal 4 3 3 2 5 3 2" xfId="14431" xr:uid="{9770A4A8-5275-4444-9663-648E3B9471E8}"/>
    <cellStyle name="Normal 4 3 3 2 5 4" xfId="10213" xr:uid="{7E240E1F-80EE-4FE2-A83B-09052D60944E}"/>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3501CB2F-4B72-40F0-90C9-AB8ED46E244A}"/>
    <cellStyle name="Normal 4 3 3 2 6 2 3" xfId="12771" xr:uid="{FDF1EC24-51B7-48FB-B37B-A064E6D8EDA2}"/>
    <cellStyle name="Normal 4 3 3 2 6 3" xfId="6402" xr:uid="{00000000-0005-0000-0000-000082140000}"/>
    <cellStyle name="Normal 4 3 3 2 6 3 2" xfId="14844" xr:uid="{05F06CFF-87DC-4517-887B-D6A3FC0DAA1D}"/>
    <cellStyle name="Normal 4 3 3 2 6 4" xfId="10626" xr:uid="{96E99B1B-82A0-4353-AAB4-59D09420B11D}"/>
    <cellStyle name="Normal 4 3 3 2 7" xfId="2531" xr:uid="{00000000-0005-0000-0000-000083140000}"/>
    <cellStyle name="Normal 4 3 3 2 7 2" xfId="6815" xr:uid="{00000000-0005-0000-0000-000084140000}"/>
    <cellStyle name="Normal 4 3 3 2 7 2 2" xfId="15257" xr:uid="{56FE9870-FF41-44DD-8E29-D361B6B0B584}"/>
    <cellStyle name="Normal 4 3 3 2 7 3" xfId="11039" xr:uid="{BDDAE117-C965-475C-B995-BE1B9A56AE00}"/>
    <cellStyle name="Normal 4 3 3 2 8" xfId="4750" xr:uid="{00000000-0005-0000-0000-000085140000}"/>
    <cellStyle name="Normal 4 3 3 2 8 2" xfId="13192" xr:uid="{2677FE93-A768-4146-8BE3-9C103FABC502}"/>
    <cellStyle name="Normal 4 3 3 2 9" xfId="8974" xr:uid="{683EC99F-A863-4DCC-A4C3-D79070D8F6E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D1426BBA-7BD1-4A1A-8839-074D34851FF5}"/>
    <cellStyle name="Normal 4 3 3 3 2 2 3" xfId="11534" xr:uid="{D0964389-9FB1-4934-BED2-7F748B8E9858}"/>
    <cellStyle name="Normal 4 3 3 3 2 3" xfId="5165" xr:uid="{00000000-0005-0000-0000-00008A140000}"/>
    <cellStyle name="Normal 4 3 3 3 2 3 2" xfId="13607" xr:uid="{204447ED-EDD4-4ACB-BD31-53CF37A53516}"/>
    <cellStyle name="Normal 4 3 3 3 2 4" xfId="9389" xr:uid="{AF40B7F7-05FA-41ED-B2AE-283AF0BE48B7}"/>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0E042B20-7160-4A8F-9AB6-840611893096}"/>
    <cellStyle name="Normal 4 3 3 3 3 2 3" xfId="11947" xr:uid="{BE98E6B4-252D-42DB-86E6-56B4DA0BC029}"/>
    <cellStyle name="Normal 4 3 3 3 3 3" xfId="5578" xr:uid="{00000000-0005-0000-0000-00008E140000}"/>
    <cellStyle name="Normal 4 3 3 3 3 3 2" xfId="14020" xr:uid="{583B5088-16B6-49DC-AC64-80FF6F803393}"/>
    <cellStyle name="Normal 4 3 3 3 3 4" xfId="9802" xr:uid="{FF5D65C2-EA68-4A24-A73D-639AD65ECD1C}"/>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28ECC3E7-78C3-40CB-B640-DA76A2609F4A}"/>
    <cellStyle name="Normal 4 3 3 3 4 2 3" xfId="12360" xr:uid="{CCB9F886-3D72-425C-AAF9-F3A937D3FFE0}"/>
    <cellStyle name="Normal 4 3 3 3 4 3" xfId="5991" xr:uid="{00000000-0005-0000-0000-000092140000}"/>
    <cellStyle name="Normal 4 3 3 3 4 3 2" xfId="14433" xr:uid="{63EDEE62-8657-4CAA-9627-69D7F3A7B75D}"/>
    <cellStyle name="Normal 4 3 3 3 4 4" xfId="10215" xr:uid="{861A0CAD-F5CF-4288-A47E-1B806ABAD41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36061856-E5BC-4B9B-8D30-4C8651DB2D0E}"/>
    <cellStyle name="Normal 4 3 3 3 5 2 3" xfId="12773" xr:uid="{A73257CF-4F26-4937-B52A-B1C5B980B92D}"/>
    <cellStyle name="Normal 4 3 3 3 5 3" xfId="6404" xr:uid="{00000000-0005-0000-0000-000096140000}"/>
    <cellStyle name="Normal 4 3 3 3 5 3 2" xfId="14846" xr:uid="{AB5E4E8F-5C53-4D56-83F2-1FAA457899DC}"/>
    <cellStyle name="Normal 4 3 3 3 5 4" xfId="10628" xr:uid="{636B6BA1-BA1E-4ADB-9016-41907116B9B9}"/>
    <cellStyle name="Normal 4 3 3 3 6" xfId="2533" xr:uid="{00000000-0005-0000-0000-000097140000}"/>
    <cellStyle name="Normal 4 3 3 3 6 2" xfId="6817" xr:uid="{00000000-0005-0000-0000-000098140000}"/>
    <cellStyle name="Normal 4 3 3 3 6 2 2" xfId="15259" xr:uid="{29F9151A-5BC9-431F-B19B-178490EB7439}"/>
    <cellStyle name="Normal 4 3 3 3 6 3" xfId="11041" xr:uid="{B3908E7C-8156-483F-AF53-7D6CA95EE87C}"/>
    <cellStyle name="Normal 4 3 3 3 7" xfId="4752" xr:uid="{00000000-0005-0000-0000-000099140000}"/>
    <cellStyle name="Normal 4 3 3 3 7 2" xfId="13194" xr:uid="{609EFF46-63FE-4415-AE2A-24C14EFA4E44}"/>
    <cellStyle name="Normal 4 3 3 3 8" xfId="8976" xr:uid="{E8038D0A-A78C-4059-A8FD-DE601F7DCF40}"/>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4BAA9816-A2A4-4A9B-A916-B963CE65ECA6}"/>
    <cellStyle name="Normal 4 3 3 4 2 3" xfId="11531" xr:uid="{E2840342-6791-4FA6-995C-BB7FA458661B}"/>
    <cellStyle name="Normal 4 3 3 4 3" xfId="5162" xr:uid="{00000000-0005-0000-0000-00009D140000}"/>
    <cellStyle name="Normal 4 3 3 4 3 2" xfId="13604" xr:uid="{1E6119BF-E73D-42FA-8309-30C3FD3F55AA}"/>
    <cellStyle name="Normal 4 3 3 4 4" xfId="9386" xr:uid="{91F34458-CD82-49A4-9A86-F0812A0789BF}"/>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820EF8A8-44AB-46F6-B7EE-CE287512E3DF}"/>
    <cellStyle name="Normal 4 3 3 5 2 3" xfId="11944" xr:uid="{580C63A7-343B-464B-AC93-56F484E086AD}"/>
    <cellStyle name="Normal 4 3 3 5 3" xfId="5575" xr:uid="{00000000-0005-0000-0000-0000A1140000}"/>
    <cellStyle name="Normal 4 3 3 5 3 2" xfId="14017" xr:uid="{E60A7796-2927-4608-A6AE-F11FB5A28314}"/>
    <cellStyle name="Normal 4 3 3 5 4" xfId="9799" xr:uid="{B133B57F-9632-4786-B04A-600722609CE4}"/>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148EE27C-F189-4201-A678-3DAA6648F247}"/>
    <cellStyle name="Normal 4 3 3 6 2 3" xfId="12357" xr:uid="{97ACB6D8-638D-4173-B4B1-90576B811DD9}"/>
    <cellStyle name="Normal 4 3 3 6 3" xfId="5988" xr:uid="{00000000-0005-0000-0000-0000A5140000}"/>
    <cellStyle name="Normal 4 3 3 6 3 2" xfId="14430" xr:uid="{8E5DEA58-9C51-436F-B865-53944F8039F6}"/>
    <cellStyle name="Normal 4 3 3 6 4" xfId="10212" xr:uid="{D1FC0E7F-CD8E-480F-8146-AED74F93B625}"/>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629CC54B-67BD-4981-8316-56562034F922}"/>
    <cellStyle name="Normal 4 3 3 7 2 3" xfId="12770" xr:uid="{9852DE4D-DC05-47FC-B3C3-6AF114AF5012}"/>
    <cellStyle name="Normal 4 3 3 7 3" xfId="6401" xr:uid="{00000000-0005-0000-0000-0000A9140000}"/>
    <cellStyle name="Normal 4 3 3 7 3 2" xfId="14843" xr:uid="{DEBE983F-736B-4A92-A32A-66CD590D517B}"/>
    <cellStyle name="Normal 4 3 3 7 4" xfId="10625" xr:uid="{6C0FFC58-0A42-4F15-9A24-4180538F8B49}"/>
    <cellStyle name="Normal 4 3 3 8" xfId="2530" xr:uid="{00000000-0005-0000-0000-0000AA140000}"/>
    <cellStyle name="Normal 4 3 3 8 2" xfId="6814" xr:uid="{00000000-0005-0000-0000-0000AB140000}"/>
    <cellStyle name="Normal 4 3 3 8 2 2" xfId="15256" xr:uid="{D5681866-9608-4868-8DB2-83E66813BAB5}"/>
    <cellStyle name="Normal 4 3 3 8 3" xfId="11038" xr:uid="{AF8A6678-C35A-41F1-8D74-6F8C67E04723}"/>
    <cellStyle name="Normal 4 3 3 9" xfId="4749" xr:uid="{00000000-0005-0000-0000-0000AC140000}"/>
    <cellStyle name="Normal 4 3 3 9 2" xfId="13191" xr:uid="{870DD1CF-AEF3-4A7E-800B-5819B01EC26A}"/>
    <cellStyle name="Normal 4 3 4" xfId="842" xr:uid="{00000000-0005-0000-0000-0000AD140000}"/>
    <cellStyle name="Normal 4 3 4 2" xfId="3079" xr:uid="{00000000-0005-0000-0000-0000AE140000}"/>
    <cellStyle name="Normal 4 3 4 2 2" xfId="7302" xr:uid="{00000000-0005-0000-0000-0000AF140000}"/>
    <cellStyle name="Normal 4 3 4 2 2 2" xfId="15744" xr:uid="{80DB1340-9ABC-4111-ACBD-D548B58161D7}"/>
    <cellStyle name="Normal 4 3 4 2 3" xfId="11526" xr:uid="{FCA923B2-40C7-456A-ADED-BB8574D25301}"/>
    <cellStyle name="Normal 4 3 4 3" xfId="5157" xr:uid="{00000000-0005-0000-0000-0000B0140000}"/>
    <cellStyle name="Normal 4 3 4 3 2" xfId="13599" xr:uid="{097D6837-417D-4D00-BAD8-35884DECDCF2}"/>
    <cellStyle name="Normal 4 3 4 4" xfId="9381" xr:uid="{2CDF9166-664A-4BF2-8741-B85850754E24}"/>
    <cellStyle name="Normal 4 3 5" xfId="1262" xr:uid="{00000000-0005-0000-0000-0000B1140000}"/>
    <cellStyle name="Normal 4 3 5 2" xfId="3492" xr:uid="{00000000-0005-0000-0000-0000B2140000}"/>
    <cellStyle name="Normal 4 3 5 2 2" xfId="7715" xr:uid="{00000000-0005-0000-0000-0000B3140000}"/>
    <cellStyle name="Normal 4 3 5 2 2 2" xfId="16157" xr:uid="{555476E4-BB49-4248-B25B-DF01C91E94C3}"/>
    <cellStyle name="Normal 4 3 5 2 3" xfId="11939" xr:uid="{91CC39A1-1A7F-4332-81E9-F2FDC4D564C4}"/>
    <cellStyle name="Normal 4 3 5 3" xfId="5570" xr:uid="{00000000-0005-0000-0000-0000B4140000}"/>
    <cellStyle name="Normal 4 3 5 3 2" xfId="14012" xr:uid="{99219DD9-B676-4A8E-9EF5-C17496A69119}"/>
    <cellStyle name="Normal 4 3 5 4" xfId="9794" xr:uid="{DF91C15F-AAFA-4085-84D2-E2DF2D609E58}"/>
    <cellStyle name="Normal 4 3 6" xfId="1675" xr:uid="{00000000-0005-0000-0000-0000B5140000}"/>
    <cellStyle name="Normal 4 3 6 2" xfId="3905" xr:uid="{00000000-0005-0000-0000-0000B6140000}"/>
    <cellStyle name="Normal 4 3 6 2 2" xfId="8128" xr:uid="{00000000-0005-0000-0000-0000B7140000}"/>
    <cellStyle name="Normal 4 3 6 2 2 2" xfId="16570" xr:uid="{97A0EBD1-F267-42B6-AC99-43C5FDC00BD7}"/>
    <cellStyle name="Normal 4 3 6 2 3" xfId="12352" xr:uid="{E733E307-D3C2-4073-8303-9C76E6348DAF}"/>
    <cellStyle name="Normal 4 3 6 3" xfId="5983" xr:uid="{00000000-0005-0000-0000-0000B8140000}"/>
    <cellStyle name="Normal 4 3 6 3 2" xfId="14425" xr:uid="{0D620E0F-BEE1-4767-BDA1-3362D4D245F4}"/>
    <cellStyle name="Normal 4 3 6 4" xfId="10207" xr:uid="{F850C1BE-705D-4F77-B2F9-D04681B9EDA9}"/>
    <cellStyle name="Normal 4 3 7" xfId="2089" xr:uid="{00000000-0005-0000-0000-0000B9140000}"/>
    <cellStyle name="Normal 4 3 7 2" xfId="4318" xr:uid="{00000000-0005-0000-0000-0000BA140000}"/>
    <cellStyle name="Normal 4 3 7 2 2" xfId="8541" xr:uid="{00000000-0005-0000-0000-0000BB140000}"/>
    <cellStyle name="Normal 4 3 7 2 2 2" xfId="16983" xr:uid="{9DD471F3-4D21-49CA-9BD5-A180F2BEB591}"/>
    <cellStyle name="Normal 4 3 7 2 3" xfId="12765" xr:uid="{4B5612EC-10B4-4B0D-BA21-8AD9D788E05F}"/>
    <cellStyle name="Normal 4 3 7 3" xfId="6396" xr:uid="{00000000-0005-0000-0000-0000BC140000}"/>
    <cellStyle name="Normal 4 3 7 3 2" xfId="14838" xr:uid="{1765877A-F6C4-4DAF-A59C-37DB7738A02B}"/>
    <cellStyle name="Normal 4 3 7 4" xfId="10620" xr:uid="{80928C94-5D4E-4A88-B830-BB32AAD57AF3}"/>
    <cellStyle name="Normal 4 3 8" xfId="2525" xr:uid="{00000000-0005-0000-0000-0000BD140000}"/>
    <cellStyle name="Normal 4 3 8 2" xfId="6809" xr:uid="{00000000-0005-0000-0000-0000BE140000}"/>
    <cellStyle name="Normal 4 3 8 2 2" xfId="15251" xr:uid="{00D73FC2-E811-46AD-A793-6FF17EBD5336}"/>
    <cellStyle name="Normal 4 3 8 3" xfId="11033" xr:uid="{DF6FF70C-4DF5-4DCD-AA1D-502ED4A78781}"/>
    <cellStyle name="Normal 4 3 9" xfId="4744" xr:uid="{00000000-0005-0000-0000-0000BF140000}"/>
    <cellStyle name="Normal 4 3 9 2" xfId="13186" xr:uid="{979E3C31-B912-469C-A5D4-2F911428A452}"/>
    <cellStyle name="Normal 4 4" xfId="378" xr:uid="{00000000-0005-0000-0000-0000C0140000}"/>
    <cellStyle name="Normal 4 4 10" xfId="2534" xr:uid="{00000000-0005-0000-0000-0000C1140000}"/>
    <cellStyle name="Normal 4 4 10 2" xfId="6818" xr:uid="{00000000-0005-0000-0000-0000C2140000}"/>
    <cellStyle name="Normal 4 4 10 2 2" xfId="15260" xr:uid="{C1065E19-1FBE-4FEE-A3EA-4646B4BC1739}"/>
    <cellStyle name="Normal 4 4 10 3" xfId="11042" xr:uid="{AABB7BC2-59FA-4D4D-9201-8074AF08C7D6}"/>
    <cellStyle name="Normal 4 4 11" xfId="4753" xr:uid="{00000000-0005-0000-0000-0000C3140000}"/>
    <cellStyle name="Normal 4 4 11 2" xfId="13195" xr:uid="{F0235918-9944-43B9-BC88-CD391C88A765}"/>
    <cellStyle name="Normal 4 4 12" xfId="8977" xr:uid="{923AB172-001A-4470-8ED4-5ABEDE7A041C}"/>
    <cellStyle name="Normal 4 4 2" xfId="379" xr:uid="{00000000-0005-0000-0000-0000C4140000}"/>
    <cellStyle name="Normal 4 4 2 10" xfId="4754" xr:uid="{00000000-0005-0000-0000-0000C5140000}"/>
    <cellStyle name="Normal 4 4 2 10 2" xfId="13196" xr:uid="{52AA3046-0260-43DF-A626-5ACDCABBECC5}"/>
    <cellStyle name="Normal 4 4 2 11" xfId="8978" xr:uid="{0C976A8B-FF52-4852-810D-9931F7FB60CC}"/>
    <cellStyle name="Normal 4 4 2 2" xfId="380" xr:uid="{00000000-0005-0000-0000-0000C6140000}"/>
    <cellStyle name="Normal 4 4 2 2 10" xfId="8979" xr:uid="{F7410701-A733-4952-834B-EBB59A9956F4}"/>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BF21D65A-E533-4FC9-A17F-8288575ECFDC}"/>
    <cellStyle name="Normal 4 4 2 2 2 2 2 2 3" xfId="11539" xr:uid="{4F71C700-BE69-401D-99B7-D9092527CA19}"/>
    <cellStyle name="Normal 4 4 2 2 2 2 2 3" xfId="5170" xr:uid="{00000000-0005-0000-0000-0000CC140000}"/>
    <cellStyle name="Normal 4 4 2 2 2 2 2 3 2" xfId="13612" xr:uid="{F0F70A90-F0B8-4915-A7FE-8307541B6CDB}"/>
    <cellStyle name="Normal 4 4 2 2 2 2 2 4" xfId="9394" xr:uid="{5D9D8628-FAFC-40A0-9890-0B46AD32D4E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855C2ECE-EC16-4B82-BCFE-AFF8A1D186B1}"/>
    <cellStyle name="Normal 4 4 2 2 2 2 3 2 3" xfId="11952" xr:uid="{17166909-19B2-436C-9395-58270AB5F1FD}"/>
    <cellStyle name="Normal 4 4 2 2 2 2 3 3" xfId="5583" xr:uid="{00000000-0005-0000-0000-0000D0140000}"/>
    <cellStyle name="Normal 4 4 2 2 2 2 3 3 2" xfId="14025" xr:uid="{2AB44817-22E0-435D-89F6-97ED948BB778}"/>
    <cellStyle name="Normal 4 4 2 2 2 2 3 4" xfId="9807" xr:uid="{F95A0949-1283-4764-AB58-58A6BD2A0B12}"/>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2A06B630-E2F4-426B-98EC-A6BDE4DD5095}"/>
    <cellStyle name="Normal 4 4 2 2 2 2 4 2 3" xfId="12365" xr:uid="{57C3E143-9D93-4990-B2E6-CC42BB942FEC}"/>
    <cellStyle name="Normal 4 4 2 2 2 2 4 3" xfId="5996" xr:uid="{00000000-0005-0000-0000-0000D4140000}"/>
    <cellStyle name="Normal 4 4 2 2 2 2 4 3 2" xfId="14438" xr:uid="{2FF5EF46-53D4-4BBC-85A6-6EFFE25E79AE}"/>
    <cellStyle name="Normal 4 4 2 2 2 2 4 4" xfId="10220" xr:uid="{638A9E8D-25C1-4A29-AFB6-A48730618164}"/>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73316C43-25A4-49F7-AE8F-7AAC880931F6}"/>
    <cellStyle name="Normal 4 4 2 2 2 2 5 2 3" xfId="12778" xr:uid="{BDE6B395-F10E-4CFF-BE4C-0677378B5B8A}"/>
    <cellStyle name="Normal 4 4 2 2 2 2 5 3" xfId="6409" xr:uid="{00000000-0005-0000-0000-0000D8140000}"/>
    <cellStyle name="Normal 4 4 2 2 2 2 5 3 2" xfId="14851" xr:uid="{5E687E11-A79D-436A-B351-42ACA61C782B}"/>
    <cellStyle name="Normal 4 4 2 2 2 2 5 4" xfId="10633" xr:uid="{2E838A54-2F52-439D-B009-E17553A9DC81}"/>
    <cellStyle name="Normal 4 4 2 2 2 2 6" xfId="2538" xr:uid="{00000000-0005-0000-0000-0000D9140000}"/>
    <cellStyle name="Normal 4 4 2 2 2 2 6 2" xfId="6822" xr:uid="{00000000-0005-0000-0000-0000DA140000}"/>
    <cellStyle name="Normal 4 4 2 2 2 2 6 2 2" xfId="15264" xr:uid="{9F90C56E-5399-461E-98FC-811C14899943}"/>
    <cellStyle name="Normal 4 4 2 2 2 2 6 3" xfId="11046" xr:uid="{08637DB1-A1F1-4E25-A8AD-62FB98490D25}"/>
    <cellStyle name="Normal 4 4 2 2 2 2 7" xfId="4757" xr:uid="{00000000-0005-0000-0000-0000DB140000}"/>
    <cellStyle name="Normal 4 4 2 2 2 2 7 2" xfId="13199" xr:uid="{4134D7A0-890F-4F98-A6E3-DF5DBB159A7A}"/>
    <cellStyle name="Normal 4 4 2 2 2 2 8" xfId="8981" xr:uid="{B0EBC6DF-43C8-4A2E-B63B-0F3CB9E3EE76}"/>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870F71A5-AA44-4952-A726-E7A0D2557B6D}"/>
    <cellStyle name="Normal 4 4 2 2 2 3 2 3" xfId="11538" xr:uid="{17E7E03A-7116-49C9-98C8-0AC9E261D152}"/>
    <cellStyle name="Normal 4 4 2 2 2 3 3" xfId="5169" xr:uid="{00000000-0005-0000-0000-0000DF140000}"/>
    <cellStyle name="Normal 4 4 2 2 2 3 3 2" xfId="13611" xr:uid="{452622E4-16C2-4185-A20A-7ED5800A9429}"/>
    <cellStyle name="Normal 4 4 2 2 2 3 4" xfId="9393" xr:uid="{217F458C-EB90-453D-8C77-893B5E8FA2E2}"/>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1F56EF91-4B54-49CD-BECF-F460612CED38}"/>
    <cellStyle name="Normal 4 4 2 2 2 4 2 3" xfId="11951" xr:uid="{8014981F-4056-43DF-B41D-7BCF6648BC79}"/>
    <cellStyle name="Normal 4 4 2 2 2 4 3" xfId="5582" xr:uid="{00000000-0005-0000-0000-0000E3140000}"/>
    <cellStyle name="Normal 4 4 2 2 2 4 3 2" xfId="14024" xr:uid="{37FA1344-E53A-402E-BF65-B160803381A3}"/>
    <cellStyle name="Normal 4 4 2 2 2 4 4" xfId="9806" xr:uid="{49F5015A-92F9-400C-9759-CBE633CF883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D952CBCA-5440-4A3F-B1EB-E9A712FDD03E}"/>
    <cellStyle name="Normal 4 4 2 2 2 5 2 3" xfId="12364" xr:uid="{492FE79F-5EFD-4879-8772-3D0DB16241AB}"/>
    <cellStyle name="Normal 4 4 2 2 2 5 3" xfId="5995" xr:uid="{00000000-0005-0000-0000-0000E7140000}"/>
    <cellStyle name="Normal 4 4 2 2 2 5 3 2" xfId="14437" xr:uid="{3C1EA103-9E44-493B-966D-01014E8353BA}"/>
    <cellStyle name="Normal 4 4 2 2 2 5 4" xfId="10219" xr:uid="{A051C0A9-9103-4E87-9325-F210C11B043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89750675-8525-438A-9087-34B9CB965B88}"/>
    <cellStyle name="Normal 4 4 2 2 2 6 2 3" xfId="12777" xr:uid="{5C7D0AFD-E8D9-4C04-B924-3FB409F17AE7}"/>
    <cellStyle name="Normal 4 4 2 2 2 6 3" xfId="6408" xr:uid="{00000000-0005-0000-0000-0000EB140000}"/>
    <cellStyle name="Normal 4 4 2 2 2 6 3 2" xfId="14850" xr:uid="{9EC3BBEA-9F1A-4950-B4B6-918151208123}"/>
    <cellStyle name="Normal 4 4 2 2 2 6 4" xfId="10632" xr:uid="{0CC433AF-22A1-4B67-B7B2-1A047B90E641}"/>
    <cellStyle name="Normal 4 4 2 2 2 7" xfId="2537" xr:uid="{00000000-0005-0000-0000-0000EC140000}"/>
    <cellStyle name="Normal 4 4 2 2 2 7 2" xfId="6821" xr:uid="{00000000-0005-0000-0000-0000ED140000}"/>
    <cellStyle name="Normal 4 4 2 2 2 7 2 2" xfId="15263" xr:uid="{35354C69-7D30-485E-8BF3-8C1EA8B2773D}"/>
    <cellStyle name="Normal 4 4 2 2 2 7 3" xfId="11045" xr:uid="{4636DBA5-883D-4EC0-A853-7099674CE341}"/>
    <cellStyle name="Normal 4 4 2 2 2 8" xfId="4756" xr:uid="{00000000-0005-0000-0000-0000EE140000}"/>
    <cellStyle name="Normal 4 4 2 2 2 8 2" xfId="13198" xr:uid="{7285B2C0-2F1D-44EB-BC72-A8B3EA95BE0D}"/>
    <cellStyle name="Normal 4 4 2 2 2 9" xfId="8980" xr:uid="{43C4FFB5-1C1E-4188-94F6-8B5596102F3B}"/>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D178D99-F2F7-434B-9CFA-A1A86D4D794F}"/>
    <cellStyle name="Normal 4 4 2 2 3 2 2 3" xfId="11540" xr:uid="{2EF416EF-C98D-4C14-B6B2-B36DB3809119}"/>
    <cellStyle name="Normal 4 4 2 2 3 2 3" xfId="5171" xr:uid="{00000000-0005-0000-0000-0000F3140000}"/>
    <cellStyle name="Normal 4 4 2 2 3 2 3 2" xfId="13613" xr:uid="{AECA2B57-4B4D-4299-9443-C825CAD4950A}"/>
    <cellStyle name="Normal 4 4 2 2 3 2 4" xfId="9395" xr:uid="{275BCC08-0E8D-4D1B-8BCE-60B0B88CC7F3}"/>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2D10B264-7F8C-445E-9C58-B0BA19CCBA6E}"/>
    <cellStyle name="Normal 4 4 2 2 3 3 2 3" xfId="11953" xr:uid="{6503985C-F304-4875-965C-D9D6FC49F6BF}"/>
    <cellStyle name="Normal 4 4 2 2 3 3 3" xfId="5584" xr:uid="{00000000-0005-0000-0000-0000F7140000}"/>
    <cellStyle name="Normal 4 4 2 2 3 3 3 2" xfId="14026" xr:uid="{07EFB021-0B36-4E63-88BC-18DFAB8AA9B9}"/>
    <cellStyle name="Normal 4 4 2 2 3 3 4" xfId="9808" xr:uid="{D8974877-5DA3-444B-A65B-2DC9DF47B1AE}"/>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158A00BA-83E4-49D2-8681-3C4EE938F354}"/>
    <cellStyle name="Normal 4 4 2 2 3 4 2 3" xfId="12366" xr:uid="{0AAB9FD6-CE0B-4999-AA68-85B3E0390864}"/>
    <cellStyle name="Normal 4 4 2 2 3 4 3" xfId="5997" xr:uid="{00000000-0005-0000-0000-0000FB140000}"/>
    <cellStyle name="Normal 4 4 2 2 3 4 3 2" xfId="14439" xr:uid="{07D8A9E7-9863-4AF0-991D-9F936089EA31}"/>
    <cellStyle name="Normal 4 4 2 2 3 4 4" xfId="10221" xr:uid="{21F813DD-2BBD-4355-AF94-DA311D84FD9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9E418C5F-06C8-4C69-8FC6-7D4FAF9C1DFB}"/>
    <cellStyle name="Normal 4 4 2 2 3 5 2 3" xfId="12779" xr:uid="{1F28E112-4AA3-4803-A5E6-B13E72A9AAD5}"/>
    <cellStyle name="Normal 4 4 2 2 3 5 3" xfId="6410" xr:uid="{00000000-0005-0000-0000-0000FF140000}"/>
    <cellStyle name="Normal 4 4 2 2 3 5 3 2" xfId="14852" xr:uid="{42CF19FE-6EF8-4959-AE52-2A1BB4D999B9}"/>
    <cellStyle name="Normal 4 4 2 2 3 5 4" xfId="10634" xr:uid="{281AFE60-F175-4593-B0DE-752F51EC12FB}"/>
    <cellStyle name="Normal 4 4 2 2 3 6" xfId="2539" xr:uid="{00000000-0005-0000-0000-000000150000}"/>
    <cellStyle name="Normal 4 4 2 2 3 6 2" xfId="6823" xr:uid="{00000000-0005-0000-0000-000001150000}"/>
    <cellStyle name="Normal 4 4 2 2 3 6 2 2" xfId="15265" xr:uid="{82EAAFF0-7AB0-45D2-8482-D7B9590D1F17}"/>
    <cellStyle name="Normal 4 4 2 2 3 6 3" xfId="11047" xr:uid="{BAC08A40-173B-4A1D-917E-35213283B380}"/>
    <cellStyle name="Normal 4 4 2 2 3 7" xfId="4758" xr:uid="{00000000-0005-0000-0000-000002150000}"/>
    <cellStyle name="Normal 4 4 2 2 3 7 2" xfId="13200" xr:uid="{B4A44C33-A570-4193-B8B2-58C5C46F87D1}"/>
    <cellStyle name="Normal 4 4 2 2 3 8" xfId="8982" xr:uid="{D9A6957C-2476-4980-8510-04CA6DCABE91}"/>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148CFC75-75E5-411E-8CB1-0233F8B69DC9}"/>
    <cellStyle name="Normal 4 4 2 2 4 2 3" xfId="11537" xr:uid="{362697B0-A679-4781-A1CE-FB552955CD1F}"/>
    <cellStyle name="Normal 4 4 2 2 4 3" xfId="5168" xr:uid="{00000000-0005-0000-0000-000006150000}"/>
    <cellStyle name="Normal 4 4 2 2 4 3 2" xfId="13610" xr:uid="{67CC7B51-E29A-4C96-8FF4-A61C36648EC2}"/>
    <cellStyle name="Normal 4 4 2 2 4 4" xfId="9392" xr:uid="{D4A92D56-D989-49B1-9338-F95B01939297}"/>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3C4B5386-29D5-45B3-BA1C-AB3EB329828E}"/>
    <cellStyle name="Normal 4 4 2 2 5 2 3" xfId="11950" xr:uid="{60DD41E9-0153-41E8-9277-1CA61148C17B}"/>
    <cellStyle name="Normal 4 4 2 2 5 3" xfId="5581" xr:uid="{00000000-0005-0000-0000-00000A150000}"/>
    <cellStyle name="Normal 4 4 2 2 5 3 2" xfId="14023" xr:uid="{5D1B3890-11B5-4A4B-A39B-0E1CD17C291A}"/>
    <cellStyle name="Normal 4 4 2 2 5 4" xfId="9805" xr:uid="{8F7452D9-3A3E-41B3-B0D1-59BD4B8C0177}"/>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E0743398-1A43-4D0B-A16E-DE08E0A1C7C3}"/>
    <cellStyle name="Normal 4 4 2 2 6 2 3" xfId="12363" xr:uid="{2D7175CB-BC11-4222-AF17-8A32AABB3320}"/>
    <cellStyle name="Normal 4 4 2 2 6 3" xfId="5994" xr:uid="{00000000-0005-0000-0000-00000E150000}"/>
    <cellStyle name="Normal 4 4 2 2 6 3 2" xfId="14436" xr:uid="{A5733595-841C-4776-BBDF-AFD4EC7B64B0}"/>
    <cellStyle name="Normal 4 4 2 2 6 4" xfId="10218" xr:uid="{781F51D0-C8D0-41C5-9979-E5F04DBA62B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8885960A-B73C-4C8A-ABB1-B38714CB9471}"/>
    <cellStyle name="Normal 4 4 2 2 7 2 3" xfId="12776" xr:uid="{63716942-0B35-4D9D-A516-A0EFCC1B2EBF}"/>
    <cellStyle name="Normal 4 4 2 2 7 3" xfId="6407" xr:uid="{00000000-0005-0000-0000-000012150000}"/>
    <cellStyle name="Normal 4 4 2 2 7 3 2" xfId="14849" xr:uid="{E4491F89-159E-41C2-93CB-5099D8F1E621}"/>
    <cellStyle name="Normal 4 4 2 2 7 4" xfId="10631" xr:uid="{12CF1566-F76F-40B3-9FEB-B24A729ABE85}"/>
    <cellStyle name="Normal 4 4 2 2 8" xfId="2536" xr:uid="{00000000-0005-0000-0000-000013150000}"/>
    <cellStyle name="Normal 4 4 2 2 8 2" xfId="6820" xr:uid="{00000000-0005-0000-0000-000014150000}"/>
    <cellStyle name="Normal 4 4 2 2 8 2 2" xfId="15262" xr:uid="{A798EF95-0D13-4A2E-8923-2900C93EF507}"/>
    <cellStyle name="Normal 4 4 2 2 8 3" xfId="11044" xr:uid="{28FB8B49-6495-499A-9EC6-450FCD4026C3}"/>
    <cellStyle name="Normal 4 4 2 2 9" xfId="4755" xr:uid="{00000000-0005-0000-0000-000015150000}"/>
    <cellStyle name="Normal 4 4 2 2 9 2" xfId="13197" xr:uid="{CF9C7856-1F3A-4748-B68B-4D348CBC8C3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66DD7CB2-5FB9-4EE9-86F8-178E6ED86547}"/>
    <cellStyle name="Normal 4 4 2 3 2 2 2 3" xfId="11542" xr:uid="{0EB557E8-4606-448E-8FE5-D7808277B73A}"/>
    <cellStyle name="Normal 4 4 2 3 2 2 3" xfId="5173" xr:uid="{00000000-0005-0000-0000-00001B150000}"/>
    <cellStyle name="Normal 4 4 2 3 2 2 3 2" xfId="13615" xr:uid="{89CDD2E3-7356-4F44-9097-0AC11FFE8613}"/>
    <cellStyle name="Normal 4 4 2 3 2 2 4" xfId="9397" xr:uid="{63DD2DB0-6428-4090-8B4C-A59842017E85}"/>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731BB0A1-E853-4EDA-8E0A-7193D564E12F}"/>
    <cellStyle name="Normal 4 4 2 3 2 3 2 3" xfId="11955" xr:uid="{CFD445EA-BE49-42F1-9612-046B960CB869}"/>
    <cellStyle name="Normal 4 4 2 3 2 3 3" xfId="5586" xr:uid="{00000000-0005-0000-0000-00001F150000}"/>
    <cellStyle name="Normal 4 4 2 3 2 3 3 2" xfId="14028" xr:uid="{0B7D9A2E-D6DE-440A-90FE-C73949F263EF}"/>
    <cellStyle name="Normal 4 4 2 3 2 3 4" xfId="9810" xr:uid="{CB0E4102-D877-4C6A-B9BA-0696A9768653}"/>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262AEA0E-F573-4446-81DC-3AEEE5221639}"/>
    <cellStyle name="Normal 4 4 2 3 2 4 2 3" xfId="12368" xr:uid="{E8C44D05-9BDF-4BC7-B7A6-12DB5B82E815}"/>
    <cellStyle name="Normal 4 4 2 3 2 4 3" xfId="5999" xr:uid="{00000000-0005-0000-0000-000023150000}"/>
    <cellStyle name="Normal 4 4 2 3 2 4 3 2" xfId="14441" xr:uid="{9D03F997-4B4C-4AE5-A37F-2776B0DB37E5}"/>
    <cellStyle name="Normal 4 4 2 3 2 4 4" xfId="10223" xr:uid="{101F5585-BFB7-415C-BA4D-A23A106741A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B6552B99-4358-43E3-ACDE-D864AE1798F7}"/>
    <cellStyle name="Normal 4 4 2 3 2 5 2 3" xfId="12781" xr:uid="{28395768-CCF8-405D-A3D0-D89BD00800BD}"/>
    <cellStyle name="Normal 4 4 2 3 2 5 3" xfId="6412" xr:uid="{00000000-0005-0000-0000-000027150000}"/>
    <cellStyle name="Normal 4 4 2 3 2 5 3 2" xfId="14854" xr:uid="{03FEA8C2-DBEB-46D5-9694-A10B42938454}"/>
    <cellStyle name="Normal 4 4 2 3 2 5 4" xfId="10636" xr:uid="{D305E5DC-E66E-4AA9-8C6C-6125B0FF86A9}"/>
    <cellStyle name="Normal 4 4 2 3 2 6" xfId="2541" xr:uid="{00000000-0005-0000-0000-000028150000}"/>
    <cellStyle name="Normal 4 4 2 3 2 6 2" xfId="6825" xr:uid="{00000000-0005-0000-0000-000029150000}"/>
    <cellStyle name="Normal 4 4 2 3 2 6 2 2" xfId="15267" xr:uid="{6F4B2F1A-1AD5-43F9-B0DB-7FECC32A7FC6}"/>
    <cellStyle name="Normal 4 4 2 3 2 6 3" xfId="11049" xr:uid="{5C42285B-3DD4-4B3A-A404-3E15F7A60EB8}"/>
    <cellStyle name="Normal 4 4 2 3 2 7" xfId="4760" xr:uid="{00000000-0005-0000-0000-00002A150000}"/>
    <cellStyle name="Normal 4 4 2 3 2 7 2" xfId="13202" xr:uid="{5124AAB3-ED0A-4BA1-922B-77F970E1B56D}"/>
    <cellStyle name="Normal 4 4 2 3 2 8" xfId="8984" xr:uid="{B2435428-17F5-4CC7-B39D-263E300BC386}"/>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AF3D3885-78A8-4082-A5F3-1E56A38CADAC}"/>
    <cellStyle name="Normal 4 4 2 3 3 2 3" xfId="11541" xr:uid="{71BF043A-4A46-4FEC-A1B1-9AD72CAEBEA6}"/>
    <cellStyle name="Normal 4 4 2 3 3 3" xfId="5172" xr:uid="{00000000-0005-0000-0000-00002E150000}"/>
    <cellStyle name="Normal 4 4 2 3 3 3 2" xfId="13614" xr:uid="{06291A9D-C329-48B5-96EF-5E07C1F6AD83}"/>
    <cellStyle name="Normal 4 4 2 3 3 4" xfId="9396" xr:uid="{FB628FD0-F086-4116-A00D-64A4B9A615FA}"/>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44A1B05D-37F9-48D8-90DE-1021EB209D15}"/>
    <cellStyle name="Normal 4 4 2 3 4 2 3" xfId="11954" xr:uid="{927BF85E-FC1B-4B13-AD6F-209C34D25881}"/>
    <cellStyle name="Normal 4 4 2 3 4 3" xfId="5585" xr:uid="{00000000-0005-0000-0000-000032150000}"/>
    <cellStyle name="Normal 4 4 2 3 4 3 2" xfId="14027" xr:uid="{ACB5624F-62AB-4012-BF90-A859521F6EC7}"/>
    <cellStyle name="Normal 4 4 2 3 4 4" xfId="9809" xr:uid="{768FCE13-49CF-4FE9-8048-D9D3AC25D5B7}"/>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E51C5903-7BC0-4563-BD1A-CC7A3A535F76}"/>
    <cellStyle name="Normal 4 4 2 3 5 2 3" xfId="12367" xr:uid="{088C3A29-7162-4139-95AB-022CB7389849}"/>
    <cellStyle name="Normal 4 4 2 3 5 3" xfId="5998" xr:uid="{00000000-0005-0000-0000-000036150000}"/>
    <cellStyle name="Normal 4 4 2 3 5 3 2" xfId="14440" xr:uid="{DE67BE30-756F-4673-B21B-581CE7835420}"/>
    <cellStyle name="Normal 4 4 2 3 5 4" xfId="10222" xr:uid="{0C7F6CBA-3236-4705-B2D0-CF01D3680E28}"/>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C80001D0-C75D-4F9C-996E-D8B6B2D9E5B0}"/>
    <cellStyle name="Normal 4 4 2 3 6 2 3" xfId="12780" xr:uid="{70DF1572-32C3-4530-9B4F-C8B36FE7D10E}"/>
    <cellStyle name="Normal 4 4 2 3 6 3" xfId="6411" xr:uid="{00000000-0005-0000-0000-00003A150000}"/>
    <cellStyle name="Normal 4 4 2 3 6 3 2" xfId="14853" xr:uid="{3DE98D5F-3DAC-4748-89F9-460A0A2485F9}"/>
    <cellStyle name="Normal 4 4 2 3 6 4" xfId="10635" xr:uid="{68313A68-584E-4472-BE74-20FD89F973D9}"/>
    <cellStyle name="Normal 4 4 2 3 7" xfId="2540" xr:uid="{00000000-0005-0000-0000-00003B150000}"/>
    <cellStyle name="Normal 4 4 2 3 7 2" xfId="6824" xr:uid="{00000000-0005-0000-0000-00003C150000}"/>
    <cellStyle name="Normal 4 4 2 3 7 2 2" xfId="15266" xr:uid="{2A9F22CD-4BBC-4CB5-9650-1792BCEC4813}"/>
    <cellStyle name="Normal 4 4 2 3 7 3" xfId="11048" xr:uid="{CF934618-43E7-4C6B-A2A4-770F48620E45}"/>
    <cellStyle name="Normal 4 4 2 3 8" xfId="4759" xr:uid="{00000000-0005-0000-0000-00003D150000}"/>
    <cellStyle name="Normal 4 4 2 3 8 2" xfId="13201" xr:uid="{00FF2E82-0707-4F0B-B7DD-3188E5F0FC61}"/>
    <cellStyle name="Normal 4 4 2 3 9" xfId="8983" xr:uid="{C6BD7B99-AF1D-4B76-87E1-490C5031D17D}"/>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7A63D110-8745-42D0-8E29-8135A70103CD}"/>
    <cellStyle name="Normal 4 4 2 4 2 2 3" xfId="11543" xr:uid="{61D13F77-907B-437B-B677-28CBFE473ED5}"/>
    <cellStyle name="Normal 4 4 2 4 2 3" xfId="5174" xr:uid="{00000000-0005-0000-0000-000042150000}"/>
    <cellStyle name="Normal 4 4 2 4 2 3 2" xfId="13616" xr:uid="{E1D2AE8C-F991-4F6C-BDA5-DB5DE3B7F425}"/>
    <cellStyle name="Normal 4 4 2 4 2 4" xfId="9398" xr:uid="{74EA281E-223D-402A-9C94-87ABFE8441C9}"/>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666750C0-CAC9-4623-B01F-123CFC948A1E}"/>
    <cellStyle name="Normal 4 4 2 4 3 2 3" xfId="11956" xr:uid="{6051B78B-6B23-4074-9CD6-C6D03295A6F9}"/>
    <cellStyle name="Normal 4 4 2 4 3 3" xfId="5587" xr:uid="{00000000-0005-0000-0000-000046150000}"/>
    <cellStyle name="Normal 4 4 2 4 3 3 2" xfId="14029" xr:uid="{E85D38C0-874B-4B28-B40F-E973951449A4}"/>
    <cellStyle name="Normal 4 4 2 4 3 4" xfId="9811" xr:uid="{AF340B93-12C2-4A4C-B305-AE80B59BE411}"/>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26960CC5-7DEE-4FFE-9330-ACDB33654BBE}"/>
    <cellStyle name="Normal 4 4 2 4 4 2 3" xfId="12369" xr:uid="{30CD361D-F9AB-4085-8A5F-FE88950588FA}"/>
    <cellStyle name="Normal 4 4 2 4 4 3" xfId="6000" xr:uid="{00000000-0005-0000-0000-00004A150000}"/>
    <cellStyle name="Normal 4 4 2 4 4 3 2" xfId="14442" xr:uid="{F9C2B60C-3093-4C7F-A613-A0DCC38EBFD3}"/>
    <cellStyle name="Normal 4 4 2 4 4 4" xfId="10224" xr:uid="{05454CC4-C06A-42DC-96C4-26249BFCDEDD}"/>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6A883A31-4F0A-494E-B1A1-9F0657DDB349}"/>
    <cellStyle name="Normal 4 4 2 4 5 2 3" xfId="12782" xr:uid="{7F31843D-3DE0-4E04-BBCF-70BE77922DDD}"/>
    <cellStyle name="Normal 4 4 2 4 5 3" xfId="6413" xr:uid="{00000000-0005-0000-0000-00004E150000}"/>
    <cellStyle name="Normal 4 4 2 4 5 3 2" xfId="14855" xr:uid="{0B460843-DBF5-4CF9-A296-F464642356A3}"/>
    <cellStyle name="Normal 4 4 2 4 5 4" xfId="10637" xr:uid="{6AB7D7D5-7D76-4240-9C60-A383DB345CAB}"/>
    <cellStyle name="Normal 4 4 2 4 6" xfId="2542" xr:uid="{00000000-0005-0000-0000-00004F150000}"/>
    <cellStyle name="Normal 4 4 2 4 6 2" xfId="6826" xr:uid="{00000000-0005-0000-0000-000050150000}"/>
    <cellStyle name="Normal 4 4 2 4 6 2 2" xfId="15268" xr:uid="{AC4E7D48-6573-483A-B4BE-F62C29E5BCEA}"/>
    <cellStyle name="Normal 4 4 2 4 6 3" xfId="11050" xr:uid="{DD2A1A27-8B0E-4164-805C-DCCD2A0E609C}"/>
    <cellStyle name="Normal 4 4 2 4 7" xfId="4761" xr:uid="{00000000-0005-0000-0000-000051150000}"/>
    <cellStyle name="Normal 4 4 2 4 7 2" xfId="13203" xr:uid="{A1E244DD-F123-423F-B93B-88851661DE4F}"/>
    <cellStyle name="Normal 4 4 2 4 8" xfId="8985" xr:uid="{CCA86462-4FD2-4752-A501-2F77D1D2705F}"/>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E732282A-36B8-4798-A98D-EAFA674A6E58}"/>
    <cellStyle name="Normal 4 4 2 5 2 3" xfId="11536" xr:uid="{94A04F4D-8D35-4639-9394-F645472D4DB9}"/>
    <cellStyle name="Normal 4 4 2 5 3" xfId="5167" xr:uid="{00000000-0005-0000-0000-000055150000}"/>
    <cellStyle name="Normal 4 4 2 5 3 2" xfId="13609" xr:uid="{729592E2-F38C-4566-9BD2-2F9FB2493620}"/>
    <cellStyle name="Normal 4 4 2 5 4" xfId="9391" xr:uid="{0BA717BD-261C-4551-96D0-432452B5DC88}"/>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5CF8CB52-7D56-4595-8A77-3F044437A51A}"/>
    <cellStyle name="Normal 4 4 2 6 2 3" xfId="11949" xr:uid="{6D819FC8-E772-4981-B107-C5BE756A6BE1}"/>
    <cellStyle name="Normal 4 4 2 6 3" xfId="5580" xr:uid="{00000000-0005-0000-0000-000059150000}"/>
    <cellStyle name="Normal 4 4 2 6 3 2" xfId="14022" xr:uid="{3BEB69B5-7CA0-4B5B-861A-2A31FF6C67A6}"/>
    <cellStyle name="Normal 4 4 2 6 4" xfId="9804" xr:uid="{C7040247-9C2A-4D93-BADB-73F65DA845E0}"/>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59C7EDD-EA1E-4589-A4E6-ED186E14C3F5}"/>
    <cellStyle name="Normal 4 4 2 7 2 3" xfId="12362" xr:uid="{D187FF75-2AB4-4319-85AC-757729688FEE}"/>
    <cellStyle name="Normal 4 4 2 7 3" xfId="5993" xr:uid="{00000000-0005-0000-0000-00005D150000}"/>
    <cellStyle name="Normal 4 4 2 7 3 2" xfId="14435" xr:uid="{E445CD16-64B7-42A6-8F39-0126B6932E4A}"/>
    <cellStyle name="Normal 4 4 2 7 4" xfId="10217" xr:uid="{649DDE4C-1A43-434C-81E3-5785139C4DDD}"/>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24DB670D-6652-49A7-B19F-3A66700D66B4}"/>
    <cellStyle name="Normal 4 4 2 8 2 3" xfId="12775" xr:uid="{4182C024-FB9B-4E90-B958-58978655975D}"/>
    <cellStyle name="Normal 4 4 2 8 3" xfId="6406" xr:uid="{00000000-0005-0000-0000-000061150000}"/>
    <cellStyle name="Normal 4 4 2 8 3 2" xfId="14848" xr:uid="{D59ADCC3-9FFF-4FF3-B17A-F7EB04F9083F}"/>
    <cellStyle name="Normal 4 4 2 8 4" xfId="10630" xr:uid="{B90CA339-27BA-4262-8253-406C83CEDDF8}"/>
    <cellStyle name="Normal 4 4 2 9" xfId="2535" xr:uid="{00000000-0005-0000-0000-000062150000}"/>
    <cellStyle name="Normal 4 4 2 9 2" xfId="6819" xr:uid="{00000000-0005-0000-0000-000063150000}"/>
    <cellStyle name="Normal 4 4 2 9 2 2" xfId="15261" xr:uid="{2FD2EBB7-C830-42D7-8D2D-3ABC56B67A5F}"/>
    <cellStyle name="Normal 4 4 2 9 3" xfId="11043" xr:uid="{3F82C013-98EB-4DAC-BA73-78DB191E6F7D}"/>
    <cellStyle name="Normal 4 4 3" xfId="387" xr:uid="{00000000-0005-0000-0000-000064150000}"/>
    <cellStyle name="Normal 4 4 3 10" xfId="8986" xr:uid="{5EA7D489-AA5B-4A62-A8CF-A277DFC40A1D}"/>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9902770D-4E84-443B-87B0-F7B8066469A4}"/>
    <cellStyle name="Normal 4 4 3 2 2 2 2 3" xfId="11546" xr:uid="{B83A68E8-EFCD-4A24-BDB5-8EAA58EB55DB}"/>
    <cellStyle name="Normal 4 4 3 2 2 2 3" xfId="5177" xr:uid="{00000000-0005-0000-0000-00006A150000}"/>
    <cellStyle name="Normal 4 4 3 2 2 2 3 2" xfId="13619" xr:uid="{33C5D95B-C332-4BB5-84AB-7030E962C53D}"/>
    <cellStyle name="Normal 4 4 3 2 2 2 4" xfId="9401" xr:uid="{0C95DB11-434D-4D46-96DD-40CB30E8B72E}"/>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71EB929A-D234-47F5-B7D4-60D8BD2D09E1}"/>
    <cellStyle name="Normal 4 4 3 2 2 3 2 3" xfId="11959" xr:uid="{9E901A04-3785-4C79-8B4A-71C3DD14E1D6}"/>
    <cellStyle name="Normal 4 4 3 2 2 3 3" xfId="5590" xr:uid="{00000000-0005-0000-0000-00006E150000}"/>
    <cellStyle name="Normal 4 4 3 2 2 3 3 2" xfId="14032" xr:uid="{0AA5BBBD-8A1D-414E-8144-8F53267D2A82}"/>
    <cellStyle name="Normal 4 4 3 2 2 3 4" xfId="9814" xr:uid="{D929552F-D1E6-4553-8C90-EF72BCBEC706}"/>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16E9491B-FEF0-45C2-AA87-7A98A0EA9EEE}"/>
    <cellStyle name="Normal 4 4 3 2 2 4 2 3" xfId="12372" xr:uid="{19D43065-D701-4B7F-8158-0ECB08ADC5B9}"/>
    <cellStyle name="Normal 4 4 3 2 2 4 3" xfId="6003" xr:uid="{00000000-0005-0000-0000-000072150000}"/>
    <cellStyle name="Normal 4 4 3 2 2 4 3 2" xfId="14445" xr:uid="{56C3C135-C2C7-4BCE-9BD9-6B10338FD891}"/>
    <cellStyle name="Normal 4 4 3 2 2 4 4" xfId="10227" xr:uid="{D3984393-35F2-4027-B942-1727D8039DD2}"/>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A1DFE655-E61E-41E0-8CE7-F5FB0ECF7124}"/>
    <cellStyle name="Normal 4 4 3 2 2 5 2 3" xfId="12785" xr:uid="{9DBC00B6-2666-4635-9167-9A236D144FB4}"/>
    <cellStyle name="Normal 4 4 3 2 2 5 3" xfId="6416" xr:uid="{00000000-0005-0000-0000-000076150000}"/>
    <cellStyle name="Normal 4 4 3 2 2 5 3 2" xfId="14858" xr:uid="{79E7D2DD-DA7F-47DF-8CE4-FD5476B785C4}"/>
    <cellStyle name="Normal 4 4 3 2 2 5 4" xfId="10640" xr:uid="{F80CE9E4-050D-4941-AEF8-713B5E6AB304}"/>
    <cellStyle name="Normal 4 4 3 2 2 6" xfId="2545" xr:uid="{00000000-0005-0000-0000-000077150000}"/>
    <cellStyle name="Normal 4 4 3 2 2 6 2" xfId="6829" xr:uid="{00000000-0005-0000-0000-000078150000}"/>
    <cellStyle name="Normal 4 4 3 2 2 6 2 2" xfId="15271" xr:uid="{62E42B76-CC07-4355-9009-6D2E1A692326}"/>
    <cellStyle name="Normal 4 4 3 2 2 6 3" xfId="11053" xr:uid="{EF67CB00-8CE7-4FAB-B437-38217D75EFB8}"/>
    <cellStyle name="Normal 4 4 3 2 2 7" xfId="4764" xr:uid="{00000000-0005-0000-0000-000079150000}"/>
    <cellStyle name="Normal 4 4 3 2 2 7 2" xfId="13206" xr:uid="{C662A38C-EABE-4FCC-B6C1-ECAB76030105}"/>
    <cellStyle name="Normal 4 4 3 2 2 8" xfId="8988" xr:uid="{E8970C6C-2181-4FA8-B481-050E1B52E3AF}"/>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F56A7B0E-805E-4EAF-ACC5-C11E42D2F4A9}"/>
    <cellStyle name="Normal 4 4 3 2 3 2 3" xfId="11545" xr:uid="{9CC615C6-7511-4F48-AE7E-C0062B6798DC}"/>
    <cellStyle name="Normal 4 4 3 2 3 3" xfId="5176" xr:uid="{00000000-0005-0000-0000-00007D150000}"/>
    <cellStyle name="Normal 4 4 3 2 3 3 2" xfId="13618" xr:uid="{961C5EBC-7F6D-47F7-9D80-6C14E089935F}"/>
    <cellStyle name="Normal 4 4 3 2 3 4" xfId="9400" xr:uid="{6F074725-BF30-4D95-8B06-05CA7D8D1FAD}"/>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0F9EBCF6-ADC5-41C6-BFA5-1D2446765A0A}"/>
    <cellStyle name="Normal 4 4 3 2 4 2 3" xfId="11958" xr:uid="{A03805B0-DB65-4EFB-94F3-D8B1EAF7167F}"/>
    <cellStyle name="Normal 4 4 3 2 4 3" xfId="5589" xr:uid="{00000000-0005-0000-0000-000081150000}"/>
    <cellStyle name="Normal 4 4 3 2 4 3 2" xfId="14031" xr:uid="{435C6C5F-75C7-4DA1-8697-9B4C57D7BB99}"/>
    <cellStyle name="Normal 4 4 3 2 4 4" xfId="9813" xr:uid="{F37AB9F3-03BC-4D46-A267-C8526B1841A2}"/>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D99A480-6E5D-4628-94CE-7B2774FF1E71}"/>
    <cellStyle name="Normal 4 4 3 2 5 2 3" xfId="12371" xr:uid="{D7920E86-72DE-4D6D-B5AA-D4BE5EB02792}"/>
    <cellStyle name="Normal 4 4 3 2 5 3" xfId="6002" xr:uid="{00000000-0005-0000-0000-000085150000}"/>
    <cellStyle name="Normal 4 4 3 2 5 3 2" xfId="14444" xr:uid="{82826B5F-78A9-4657-8B2F-73D1A015A4E2}"/>
    <cellStyle name="Normal 4 4 3 2 5 4" xfId="10226" xr:uid="{73C7777B-4AB9-42D7-8292-41C6A321F531}"/>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60FF658D-0BAD-425B-A50D-65D68ECBF26D}"/>
    <cellStyle name="Normal 4 4 3 2 6 2 3" xfId="12784" xr:uid="{0CE4610C-3D9D-4514-BADC-25EB371D3ABA}"/>
    <cellStyle name="Normal 4 4 3 2 6 3" xfId="6415" xr:uid="{00000000-0005-0000-0000-000089150000}"/>
    <cellStyle name="Normal 4 4 3 2 6 3 2" xfId="14857" xr:uid="{EE7F1E59-D22D-4466-8317-E0B913C3A8D3}"/>
    <cellStyle name="Normal 4 4 3 2 6 4" xfId="10639" xr:uid="{289F3791-35CC-4F05-A6BC-EE5AF8C8CDE8}"/>
    <cellStyle name="Normal 4 4 3 2 7" xfId="2544" xr:uid="{00000000-0005-0000-0000-00008A150000}"/>
    <cellStyle name="Normal 4 4 3 2 7 2" xfId="6828" xr:uid="{00000000-0005-0000-0000-00008B150000}"/>
    <cellStyle name="Normal 4 4 3 2 7 2 2" xfId="15270" xr:uid="{9A14B3E2-4B16-4D2A-BF92-F2751E26BAE5}"/>
    <cellStyle name="Normal 4 4 3 2 7 3" xfId="11052" xr:uid="{474498E3-7217-4FD0-A689-8A544E3A1BF1}"/>
    <cellStyle name="Normal 4 4 3 2 8" xfId="4763" xr:uid="{00000000-0005-0000-0000-00008C150000}"/>
    <cellStyle name="Normal 4 4 3 2 8 2" xfId="13205" xr:uid="{AE63607C-64F0-46BF-83B9-BA0F41892B3A}"/>
    <cellStyle name="Normal 4 4 3 2 9" xfId="8987" xr:uid="{425383E6-8C30-41A0-9546-E37C6ACBE577}"/>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071DD0DB-D984-4158-98BA-D98A4DF13398}"/>
    <cellStyle name="Normal 4 4 3 3 2 2 3" xfId="11547" xr:uid="{7EFDC5B2-A3C0-4B02-8582-F8187FF0BE69}"/>
    <cellStyle name="Normal 4 4 3 3 2 3" xfId="5178" xr:uid="{00000000-0005-0000-0000-000091150000}"/>
    <cellStyle name="Normal 4 4 3 3 2 3 2" xfId="13620" xr:uid="{55EE2BCB-0A76-49CF-81A0-37E1C04BE3C0}"/>
    <cellStyle name="Normal 4 4 3 3 2 4" xfId="9402" xr:uid="{5EF5440B-2FAD-45E8-8DE8-F84EA121646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19C24067-26E2-48A4-BA58-2D1E60BE4E2D}"/>
    <cellStyle name="Normal 4 4 3 3 3 2 3" xfId="11960" xr:uid="{C3A179C6-1A52-4227-A5AD-A2A5801BDF4A}"/>
    <cellStyle name="Normal 4 4 3 3 3 3" xfId="5591" xr:uid="{00000000-0005-0000-0000-000095150000}"/>
    <cellStyle name="Normal 4 4 3 3 3 3 2" xfId="14033" xr:uid="{8C1D975D-1633-40E2-B479-A033295CB425}"/>
    <cellStyle name="Normal 4 4 3 3 3 4" xfId="9815" xr:uid="{D0D830A6-5FEF-430D-A12F-5428D9E0347D}"/>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25B5AB2A-D78D-4845-B556-6B6378525DDC}"/>
    <cellStyle name="Normal 4 4 3 3 4 2 3" xfId="12373" xr:uid="{AC23604E-A8AA-4A3C-8D4F-6BE2FCC4D2C9}"/>
    <cellStyle name="Normal 4 4 3 3 4 3" xfId="6004" xr:uid="{00000000-0005-0000-0000-000099150000}"/>
    <cellStyle name="Normal 4 4 3 3 4 3 2" xfId="14446" xr:uid="{D11A1928-BE19-43D3-B8DA-3E4FA635E2EF}"/>
    <cellStyle name="Normal 4 4 3 3 4 4" xfId="10228" xr:uid="{10D97462-F649-4EAA-AC65-26CE9F00EA6C}"/>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584401B4-C946-4E22-98B0-75F528E26082}"/>
    <cellStyle name="Normal 4 4 3 3 5 2 3" xfId="12786" xr:uid="{37FEF11A-B4DD-4261-BBA2-31BEB9FC98DB}"/>
    <cellStyle name="Normal 4 4 3 3 5 3" xfId="6417" xr:uid="{00000000-0005-0000-0000-00009D150000}"/>
    <cellStyle name="Normal 4 4 3 3 5 3 2" xfId="14859" xr:uid="{75241083-0F28-4774-9E55-4D07CB1488C3}"/>
    <cellStyle name="Normal 4 4 3 3 5 4" xfId="10641" xr:uid="{E9208428-1F24-4EAA-A7C3-2A3C95BC9A09}"/>
    <cellStyle name="Normal 4 4 3 3 6" xfId="2546" xr:uid="{00000000-0005-0000-0000-00009E150000}"/>
    <cellStyle name="Normal 4 4 3 3 6 2" xfId="6830" xr:uid="{00000000-0005-0000-0000-00009F150000}"/>
    <cellStyle name="Normal 4 4 3 3 6 2 2" xfId="15272" xr:uid="{DE4842D2-37F8-46DC-B051-62966A83E99E}"/>
    <cellStyle name="Normal 4 4 3 3 6 3" xfId="11054" xr:uid="{2E881A2F-1714-43FB-B22D-11C1742E03C9}"/>
    <cellStyle name="Normal 4 4 3 3 7" xfId="4765" xr:uid="{00000000-0005-0000-0000-0000A0150000}"/>
    <cellStyle name="Normal 4 4 3 3 7 2" xfId="13207" xr:uid="{FC0D5ECE-A300-41A9-9494-F620286233EB}"/>
    <cellStyle name="Normal 4 4 3 3 8" xfId="8989" xr:uid="{014B38B3-A219-45C5-A69A-3D00CA562E8B}"/>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8EF88D81-FE62-44E7-9B6B-B2CE3A974DCF}"/>
    <cellStyle name="Normal 4 4 3 4 2 3" xfId="11544" xr:uid="{AF3D322D-E986-42B5-967F-FE549180850D}"/>
    <cellStyle name="Normal 4 4 3 4 3" xfId="5175" xr:uid="{00000000-0005-0000-0000-0000A4150000}"/>
    <cellStyle name="Normal 4 4 3 4 3 2" xfId="13617" xr:uid="{38E37302-5BF4-4CF1-877F-F79443987532}"/>
    <cellStyle name="Normal 4 4 3 4 4" xfId="9399" xr:uid="{A1223174-F114-42A0-B40F-9BF2E521F1A0}"/>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D54A26D4-5ECD-420F-A28B-D637FDEC4EBB}"/>
    <cellStyle name="Normal 4 4 3 5 2 3" xfId="11957" xr:uid="{2F50DB3D-4735-4E72-826F-8C863EBB8714}"/>
    <cellStyle name="Normal 4 4 3 5 3" xfId="5588" xr:uid="{00000000-0005-0000-0000-0000A8150000}"/>
    <cellStyle name="Normal 4 4 3 5 3 2" xfId="14030" xr:uid="{71EF282D-33C7-4DAC-933F-C0277F4427FC}"/>
    <cellStyle name="Normal 4 4 3 5 4" xfId="9812" xr:uid="{5D426F90-DE73-4C2F-9349-55C2EA4ECC6B}"/>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67F32502-9AC5-44E2-B436-1548A7E578B7}"/>
    <cellStyle name="Normal 4 4 3 6 2 3" xfId="12370" xr:uid="{0ACD05BB-FB94-4686-8D79-A95312D0B077}"/>
    <cellStyle name="Normal 4 4 3 6 3" xfId="6001" xr:uid="{00000000-0005-0000-0000-0000AC150000}"/>
    <cellStyle name="Normal 4 4 3 6 3 2" xfId="14443" xr:uid="{1B3D985E-5959-4313-8688-1462CEC7CE66}"/>
    <cellStyle name="Normal 4 4 3 6 4" xfId="10225" xr:uid="{0AE1D4F3-1F62-4B95-9874-A2BE0A22DF99}"/>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5B41204E-A122-4FA3-B9F5-DA6AA9923ED1}"/>
    <cellStyle name="Normal 4 4 3 7 2 3" xfId="12783" xr:uid="{8CC4308F-2A55-4715-81AF-CC049A0D5571}"/>
    <cellStyle name="Normal 4 4 3 7 3" xfId="6414" xr:uid="{00000000-0005-0000-0000-0000B0150000}"/>
    <cellStyle name="Normal 4 4 3 7 3 2" xfId="14856" xr:uid="{A360B21B-F4EF-42B4-9D94-5B69D079C423}"/>
    <cellStyle name="Normal 4 4 3 7 4" xfId="10638" xr:uid="{C605DB72-9A1B-479A-8DE7-F38574CA55BD}"/>
    <cellStyle name="Normal 4 4 3 8" xfId="2543" xr:uid="{00000000-0005-0000-0000-0000B1150000}"/>
    <cellStyle name="Normal 4 4 3 8 2" xfId="6827" xr:uid="{00000000-0005-0000-0000-0000B2150000}"/>
    <cellStyle name="Normal 4 4 3 8 2 2" xfId="15269" xr:uid="{A322571A-36CA-4CB0-8ADF-467150A60D31}"/>
    <cellStyle name="Normal 4 4 3 8 3" xfId="11051" xr:uid="{1402E837-4905-4CD2-8BB9-187529067BF3}"/>
    <cellStyle name="Normal 4 4 3 9" xfId="4762" xr:uid="{00000000-0005-0000-0000-0000B3150000}"/>
    <cellStyle name="Normal 4 4 3 9 2" xfId="13204" xr:uid="{0684DE87-C779-48D5-A26D-BDDCBD5793D4}"/>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EA1868EF-85A8-4429-A735-710304ED2D55}"/>
    <cellStyle name="Normal 4 4 4 2 2 2 3" xfId="11549" xr:uid="{DEB2A025-3DDB-4582-A4AA-577F7A6D1972}"/>
    <cellStyle name="Normal 4 4 4 2 2 3" xfId="5180" xr:uid="{00000000-0005-0000-0000-0000B9150000}"/>
    <cellStyle name="Normal 4 4 4 2 2 3 2" xfId="13622" xr:uid="{D858819E-9AEC-4906-BF91-80ECB464B1F9}"/>
    <cellStyle name="Normal 4 4 4 2 2 4" xfId="9404" xr:uid="{7AD61DB8-5396-460B-AAF0-3439BADAF349}"/>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ADD0D4A2-FEB0-4598-ABAA-2BAA9768DF5E}"/>
    <cellStyle name="Normal 4 4 4 2 3 2 3" xfId="11962" xr:uid="{FDE43043-4766-473F-9CE8-8CBEF3269167}"/>
    <cellStyle name="Normal 4 4 4 2 3 3" xfId="5593" xr:uid="{00000000-0005-0000-0000-0000BD150000}"/>
    <cellStyle name="Normal 4 4 4 2 3 3 2" xfId="14035" xr:uid="{B162A3C2-45C6-47C6-87F5-492C4893A356}"/>
    <cellStyle name="Normal 4 4 4 2 3 4" xfId="9817" xr:uid="{862EF3A1-D3FE-4101-BD4F-1AB40ED1489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C8BE7FEE-A2F5-4628-8980-5A288A6177F2}"/>
    <cellStyle name="Normal 4 4 4 2 4 2 3" xfId="12375" xr:uid="{ABB52F11-FE57-49C4-A3F0-69ADB1AC3EB4}"/>
    <cellStyle name="Normal 4 4 4 2 4 3" xfId="6006" xr:uid="{00000000-0005-0000-0000-0000C1150000}"/>
    <cellStyle name="Normal 4 4 4 2 4 3 2" xfId="14448" xr:uid="{056D239E-6EF6-4CA1-81CE-95B69B531D1C}"/>
    <cellStyle name="Normal 4 4 4 2 4 4" xfId="10230" xr:uid="{27F66FB7-E07B-424D-90ED-D69953C1818C}"/>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DBB9B978-BA6A-4505-A99A-21FE912FA557}"/>
    <cellStyle name="Normal 4 4 4 2 5 2 3" xfId="12788" xr:uid="{EBE07E20-43F7-4085-BDD5-8FF1045E7F3F}"/>
    <cellStyle name="Normal 4 4 4 2 5 3" xfId="6419" xr:uid="{00000000-0005-0000-0000-0000C5150000}"/>
    <cellStyle name="Normal 4 4 4 2 5 3 2" xfId="14861" xr:uid="{EF7F6AEF-52AF-478D-9973-A58872CC23DA}"/>
    <cellStyle name="Normal 4 4 4 2 5 4" xfId="10643" xr:uid="{9D3FF75D-279A-430B-B715-5617CF8A79DD}"/>
    <cellStyle name="Normal 4 4 4 2 6" xfId="2548" xr:uid="{00000000-0005-0000-0000-0000C6150000}"/>
    <cellStyle name="Normal 4 4 4 2 6 2" xfId="6832" xr:uid="{00000000-0005-0000-0000-0000C7150000}"/>
    <cellStyle name="Normal 4 4 4 2 6 2 2" xfId="15274" xr:uid="{6EFED98D-D7F6-4426-A42E-C0E3E22A21AA}"/>
    <cellStyle name="Normal 4 4 4 2 6 3" xfId="11056" xr:uid="{FD80C3F0-5536-4C2A-92B1-872C5B8E5C07}"/>
    <cellStyle name="Normal 4 4 4 2 7" xfId="4767" xr:uid="{00000000-0005-0000-0000-0000C8150000}"/>
    <cellStyle name="Normal 4 4 4 2 7 2" xfId="13209" xr:uid="{064F70C1-B38D-4707-8AE5-C297CDB1F14B}"/>
    <cellStyle name="Normal 4 4 4 2 8" xfId="8991" xr:uid="{249A9447-E7E6-48D0-A11A-68075AE29C24}"/>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C9ECE808-73E0-4475-B094-7CBB8BBBBCBC}"/>
    <cellStyle name="Normal 4 4 4 3 2 3" xfId="11548" xr:uid="{B05A86CD-D645-4929-81F1-0DB035BF6EA8}"/>
    <cellStyle name="Normal 4 4 4 3 3" xfId="5179" xr:uid="{00000000-0005-0000-0000-0000CC150000}"/>
    <cellStyle name="Normal 4 4 4 3 3 2" xfId="13621" xr:uid="{E52CD81B-5DB1-48EE-AF6B-EA3A05CF6068}"/>
    <cellStyle name="Normal 4 4 4 3 4" xfId="9403" xr:uid="{79B8EB7C-87FA-4DF1-8980-308F626D81CB}"/>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72479E81-CA36-4BE6-A74E-CC2A5229271B}"/>
    <cellStyle name="Normal 4 4 4 4 2 3" xfId="11961" xr:uid="{6D52200D-672E-4F11-B8E9-ACC49B65F640}"/>
    <cellStyle name="Normal 4 4 4 4 3" xfId="5592" xr:uid="{00000000-0005-0000-0000-0000D0150000}"/>
    <cellStyle name="Normal 4 4 4 4 3 2" xfId="14034" xr:uid="{A8BF7CD2-2C59-4F52-BA6C-8F0419D2098B}"/>
    <cellStyle name="Normal 4 4 4 4 4" xfId="9816" xr:uid="{F48AF0E3-40E4-42F9-BF42-7761855A2464}"/>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09DC58E8-AECF-4C6F-8564-29E2C9FB21CB}"/>
    <cellStyle name="Normal 4 4 4 5 2 3" xfId="12374" xr:uid="{99090B38-9BC8-4C40-A729-50E6D510897A}"/>
    <cellStyle name="Normal 4 4 4 5 3" xfId="6005" xr:uid="{00000000-0005-0000-0000-0000D4150000}"/>
    <cellStyle name="Normal 4 4 4 5 3 2" xfId="14447" xr:uid="{B9B77E78-F55E-4455-BC4A-021B99ED8BDF}"/>
    <cellStyle name="Normal 4 4 4 5 4" xfId="10229" xr:uid="{0D01F2CE-8C50-4817-B3CA-D4DDA2EE5921}"/>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89DAD32D-D730-4018-ACC0-CE89AADF0BB1}"/>
    <cellStyle name="Normal 4 4 4 6 2 3" xfId="12787" xr:uid="{0E1E9ABE-CBC8-4C4E-8535-D139AE9E2FD4}"/>
    <cellStyle name="Normal 4 4 4 6 3" xfId="6418" xr:uid="{00000000-0005-0000-0000-0000D8150000}"/>
    <cellStyle name="Normal 4 4 4 6 3 2" xfId="14860" xr:uid="{C856FC7C-2CEF-43C8-8D6A-081A1DC85E41}"/>
    <cellStyle name="Normal 4 4 4 6 4" xfId="10642" xr:uid="{7CC2A2CB-70C7-43C4-81D9-E1B226B075B9}"/>
    <cellStyle name="Normal 4 4 4 7" xfId="2547" xr:uid="{00000000-0005-0000-0000-0000D9150000}"/>
    <cellStyle name="Normal 4 4 4 7 2" xfId="6831" xr:uid="{00000000-0005-0000-0000-0000DA150000}"/>
    <cellStyle name="Normal 4 4 4 7 2 2" xfId="15273" xr:uid="{CD4249CB-07A1-4305-A3C1-B7E4C7CC8EFC}"/>
    <cellStyle name="Normal 4 4 4 7 3" xfId="11055" xr:uid="{D9773FB3-05AE-4676-A326-6AB150899DC9}"/>
    <cellStyle name="Normal 4 4 4 8" xfId="4766" xr:uid="{00000000-0005-0000-0000-0000DB150000}"/>
    <cellStyle name="Normal 4 4 4 8 2" xfId="13208" xr:uid="{F1FB46F8-01B3-48C3-9576-D07619C0A024}"/>
    <cellStyle name="Normal 4 4 4 9" xfId="8990" xr:uid="{DCB17E39-9982-4A4B-AFD5-E1AAB09E7278}"/>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F789D5E0-4D31-4F5A-8754-F56D3948B93D}"/>
    <cellStyle name="Normal 4 4 5 2 2 3" xfId="11550" xr:uid="{3C52832B-251A-474D-ADB6-39BE2D2B34DA}"/>
    <cellStyle name="Normal 4 4 5 2 3" xfId="5181" xr:uid="{00000000-0005-0000-0000-0000E0150000}"/>
    <cellStyle name="Normal 4 4 5 2 3 2" xfId="13623" xr:uid="{6A550230-D926-4604-8DF2-E5D47B226A47}"/>
    <cellStyle name="Normal 4 4 5 2 4" xfId="9405" xr:uid="{AE8802DD-0C0A-40A6-8BF8-E0EF213B18E5}"/>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598BA464-67A2-447A-8D39-0E0A284AC54E}"/>
    <cellStyle name="Normal 4 4 5 3 2 3" xfId="11963" xr:uid="{B85CD504-950A-4FFD-997B-E380D8656A94}"/>
    <cellStyle name="Normal 4 4 5 3 3" xfId="5594" xr:uid="{00000000-0005-0000-0000-0000E4150000}"/>
    <cellStyle name="Normal 4 4 5 3 3 2" xfId="14036" xr:uid="{233A2E63-8354-41F2-AE71-96A1B0A4C395}"/>
    <cellStyle name="Normal 4 4 5 3 4" xfId="9818" xr:uid="{19DA3AAB-177E-4120-B31E-E1FABA8B602C}"/>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9DBEC0C-0649-4D3F-99DC-A3E422DDCA94}"/>
    <cellStyle name="Normal 4 4 5 4 2 3" xfId="12376" xr:uid="{EA65B852-7577-4369-895E-B5171CCE4E34}"/>
    <cellStyle name="Normal 4 4 5 4 3" xfId="6007" xr:uid="{00000000-0005-0000-0000-0000E8150000}"/>
    <cellStyle name="Normal 4 4 5 4 3 2" xfId="14449" xr:uid="{2B74B3B5-430E-455F-BE1A-C5DAC1E4D1E6}"/>
    <cellStyle name="Normal 4 4 5 4 4" xfId="10231" xr:uid="{57042AD1-7EAB-4081-9690-AA04D5BD928D}"/>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9C822802-3133-4E20-A645-36085628391E}"/>
    <cellStyle name="Normal 4 4 5 5 2 3" xfId="12789" xr:uid="{09CC41B5-722B-48F8-A9A7-55724EBC1E3D}"/>
    <cellStyle name="Normal 4 4 5 5 3" xfId="6420" xr:uid="{00000000-0005-0000-0000-0000EC150000}"/>
    <cellStyle name="Normal 4 4 5 5 3 2" xfId="14862" xr:uid="{E35A66B9-23E4-4112-89ED-61DDEE6CC217}"/>
    <cellStyle name="Normal 4 4 5 5 4" xfId="10644" xr:uid="{4159F471-6DD6-4356-825A-1847EFE8B7AE}"/>
    <cellStyle name="Normal 4 4 5 6" xfId="2549" xr:uid="{00000000-0005-0000-0000-0000ED150000}"/>
    <cellStyle name="Normal 4 4 5 6 2" xfId="6833" xr:uid="{00000000-0005-0000-0000-0000EE150000}"/>
    <cellStyle name="Normal 4 4 5 6 2 2" xfId="15275" xr:uid="{D1C3058D-2F92-45E4-8E02-D79F5D07024B}"/>
    <cellStyle name="Normal 4 4 5 6 3" xfId="11057" xr:uid="{0F2230B9-973E-4892-85D2-9BC1A5BDCFA3}"/>
    <cellStyle name="Normal 4 4 5 7" xfId="4768" xr:uid="{00000000-0005-0000-0000-0000EF150000}"/>
    <cellStyle name="Normal 4 4 5 7 2" xfId="13210" xr:uid="{98357221-45F0-4C04-A1DA-5838DCBD9C47}"/>
    <cellStyle name="Normal 4 4 5 8" xfId="8992" xr:uid="{B40E6763-A1F6-491A-9315-B79714F70151}"/>
    <cellStyle name="Normal 4 4 6" xfId="853" xr:uid="{00000000-0005-0000-0000-0000F0150000}"/>
    <cellStyle name="Normal 4 4 6 2" xfId="3088" xr:uid="{00000000-0005-0000-0000-0000F1150000}"/>
    <cellStyle name="Normal 4 4 6 2 2" xfId="7311" xr:uid="{00000000-0005-0000-0000-0000F2150000}"/>
    <cellStyle name="Normal 4 4 6 2 2 2" xfId="15753" xr:uid="{177D7EF9-E348-463E-944D-207125269E1F}"/>
    <cellStyle name="Normal 4 4 6 2 3" xfId="11535" xr:uid="{AA95C85C-41D9-44D9-A0BB-9B213CD5D277}"/>
    <cellStyle name="Normal 4 4 6 3" xfId="5166" xr:uid="{00000000-0005-0000-0000-0000F3150000}"/>
    <cellStyle name="Normal 4 4 6 3 2" xfId="13608" xr:uid="{639B458F-A62E-4431-9BB7-41AE12CD9AF7}"/>
    <cellStyle name="Normal 4 4 6 4" xfId="9390" xr:uid="{C4462832-D629-4E82-B723-DFB319BC7652}"/>
    <cellStyle name="Normal 4 4 7" xfId="1271" xr:uid="{00000000-0005-0000-0000-0000F4150000}"/>
    <cellStyle name="Normal 4 4 7 2" xfId="3501" xr:uid="{00000000-0005-0000-0000-0000F5150000}"/>
    <cellStyle name="Normal 4 4 7 2 2" xfId="7724" xr:uid="{00000000-0005-0000-0000-0000F6150000}"/>
    <cellStyle name="Normal 4 4 7 2 2 2" xfId="16166" xr:uid="{E26AD1EE-6809-4C53-A1FC-40391EDED811}"/>
    <cellStyle name="Normal 4 4 7 2 3" xfId="11948" xr:uid="{61490136-DAA7-4DAF-A200-2C242FAB790F}"/>
    <cellStyle name="Normal 4 4 7 3" xfId="5579" xr:uid="{00000000-0005-0000-0000-0000F7150000}"/>
    <cellStyle name="Normal 4 4 7 3 2" xfId="14021" xr:uid="{AF23B846-6EEF-444A-8471-CB5A18429B3E}"/>
    <cellStyle name="Normal 4 4 7 4" xfId="9803" xr:uid="{9B726BA1-3809-45B4-BD01-15ED99F31467}"/>
    <cellStyle name="Normal 4 4 8" xfId="1684" xr:uid="{00000000-0005-0000-0000-0000F8150000}"/>
    <cellStyle name="Normal 4 4 8 2" xfId="3914" xr:uid="{00000000-0005-0000-0000-0000F9150000}"/>
    <cellStyle name="Normal 4 4 8 2 2" xfId="8137" xr:uid="{00000000-0005-0000-0000-0000FA150000}"/>
    <cellStyle name="Normal 4 4 8 2 2 2" xfId="16579" xr:uid="{D6BFB6A8-54D5-444C-ACF4-4D2B1F9A88F4}"/>
    <cellStyle name="Normal 4 4 8 2 3" xfId="12361" xr:uid="{CF3FF844-EB93-4E1F-BAFD-C8A19722BEEC}"/>
    <cellStyle name="Normal 4 4 8 3" xfId="5992" xr:uid="{00000000-0005-0000-0000-0000FB150000}"/>
    <cellStyle name="Normal 4 4 8 3 2" xfId="14434" xr:uid="{AEBC3406-3F36-4013-9A88-F7D4984ACCFC}"/>
    <cellStyle name="Normal 4 4 8 4" xfId="10216" xr:uid="{BD06F8C7-A467-4A94-81C8-0C540116226B}"/>
    <cellStyle name="Normal 4 4 9" xfId="2098" xr:uid="{00000000-0005-0000-0000-0000FC150000}"/>
    <cellStyle name="Normal 4 4 9 2" xfId="4327" xr:uid="{00000000-0005-0000-0000-0000FD150000}"/>
    <cellStyle name="Normal 4 4 9 2 2" xfId="8550" xr:uid="{00000000-0005-0000-0000-0000FE150000}"/>
    <cellStyle name="Normal 4 4 9 2 2 2" xfId="16992" xr:uid="{582A3173-38B1-4085-AB67-6EAB302E4A82}"/>
    <cellStyle name="Normal 4 4 9 2 3" xfId="12774" xr:uid="{B6D8A9B6-C8A1-40F6-8B3E-7D22C830F856}"/>
    <cellStyle name="Normal 4 4 9 3" xfId="6405" xr:uid="{00000000-0005-0000-0000-0000FF150000}"/>
    <cellStyle name="Normal 4 4 9 3 2" xfId="14847" xr:uid="{3F0764CA-75DC-4BDE-A942-1163C339E401}"/>
    <cellStyle name="Normal 4 4 9 4" xfId="10629" xr:uid="{436775C7-60CE-4A5A-B2AC-A446675F0823}"/>
    <cellStyle name="Normal 4 5" xfId="394" xr:uid="{00000000-0005-0000-0000-000000160000}"/>
    <cellStyle name="Normal 4 6" xfId="395" xr:uid="{00000000-0005-0000-0000-000001160000}"/>
    <cellStyle name="Normal 4 6 10" xfId="4769" xr:uid="{00000000-0005-0000-0000-000002160000}"/>
    <cellStyle name="Normal 4 6 10 2" xfId="13211" xr:uid="{B9D728E9-5A38-4EB7-A7B1-7A03C45EA9E2}"/>
    <cellStyle name="Normal 4 6 11" xfId="8993" xr:uid="{CD3DD249-0571-4490-8382-C9A765C235D4}"/>
    <cellStyle name="Normal 4 6 2" xfId="396" xr:uid="{00000000-0005-0000-0000-000003160000}"/>
    <cellStyle name="Normal 4 6 2 10" xfId="8994" xr:uid="{C42D3BC6-5518-4B14-BF10-57DACE91B51F}"/>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DEE84DCA-6C02-492F-82C4-FB0E95F5BD90}"/>
    <cellStyle name="Normal 4 6 2 2 2 2 2 3" xfId="11554" xr:uid="{192F38AD-9269-4657-8A32-BE0B037ADC2E}"/>
    <cellStyle name="Normal 4 6 2 2 2 2 3" xfId="5185" xr:uid="{00000000-0005-0000-0000-000009160000}"/>
    <cellStyle name="Normal 4 6 2 2 2 2 3 2" xfId="13627" xr:uid="{988F2A84-FAE9-4483-94C3-A858C0F63CB0}"/>
    <cellStyle name="Normal 4 6 2 2 2 2 4" xfId="9409" xr:uid="{20350005-CA2C-4334-946D-1926B38BF4D3}"/>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FA6C287D-A793-4F7C-804D-049F25B9C2C6}"/>
    <cellStyle name="Normal 4 6 2 2 2 3 2 3" xfId="11967" xr:uid="{C4353715-32A1-4BF8-8641-09934B69D04B}"/>
    <cellStyle name="Normal 4 6 2 2 2 3 3" xfId="5598" xr:uid="{00000000-0005-0000-0000-00000D160000}"/>
    <cellStyle name="Normal 4 6 2 2 2 3 3 2" xfId="14040" xr:uid="{166A81C9-44DF-4FCC-8C0F-7B57DF598FF7}"/>
    <cellStyle name="Normal 4 6 2 2 2 3 4" xfId="9822" xr:uid="{858D1247-F8F4-4143-8B96-4ABC6C52566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1D0E6A79-8B6E-4035-BB0E-2C8DA57FE9A9}"/>
    <cellStyle name="Normal 4 6 2 2 2 4 2 3" xfId="12380" xr:uid="{D7CDD465-005B-4EC7-8E4F-A557F467535D}"/>
    <cellStyle name="Normal 4 6 2 2 2 4 3" xfId="6011" xr:uid="{00000000-0005-0000-0000-000011160000}"/>
    <cellStyle name="Normal 4 6 2 2 2 4 3 2" xfId="14453" xr:uid="{0364C36F-6295-4384-A3DA-6A703AA0A555}"/>
    <cellStyle name="Normal 4 6 2 2 2 4 4" xfId="10235" xr:uid="{621F4CF2-1086-41CD-9FCE-11AC194B2D4C}"/>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8D115D2E-1893-4D52-83E9-B2D547A857D1}"/>
    <cellStyle name="Normal 4 6 2 2 2 5 2 3" xfId="12793" xr:uid="{E3CCC916-A81D-4EFB-8F53-3F19D6D77B72}"/>
    <cellStyle name="Normal 4 6 2 2 2 5 3" xfId="6424" xr:uid="{00000000-0005-0000-0000-000015160000}"/>
    <cellStyle name="Normal 4 6 2 2 2 5 3 2" xfId="14866" xr:uid="{E0C2213D-7C29-4EF6-8A10-74644A6202EE}"/>
    <cellStyle name="Normal 4 6 2 2 2 5 4" xfId="10648" xr:uid="{5857C236-7A07-4680-A114-15D2D9CCB75E}"/>
    <cellStyle name="Normal 4 6 2 2 2 6" xfId="2553" xr:uid="{00000000-0005-0000-0000-000016160000}"/>
    <cellStyle name="Normal 4 6 2 2 2 6 2" xfId="6837" xr:uid="{00000000-0005-0000-0000-000017160000}"/>
    <cellStyle name="Normal 4 6 2 2 2 6 2 2" xfId="15279" xr:uid="{EF1D35CB-65EF-4BF1-82BD-A9B278BE918F}"/>
    <cellStyle name="Normal 4 6 2 2 2 6 3" xfId="11061" xr:uid="{4ED7F765-593D-413A-877C-CDC2D2608A9C}"/>
    <cellStyle name="Normal 4 6 2 2 2 7" xfId="4772" xr:uid="{00000000-0005-0000-0000-000018160000}"/>
    <cellStyle name="Normal 4 6 2 2 2 7 2" xfId="13214" xr:uid="{3A4C3A98-207B-43E6-9793-A1DA884379BC}"/>
    <cellStyle name="Normal 4 6 2 2 2 8" xfId="8996" xr:uid="{56F793BA-2D92-4714-844F-1CAF39A4DFB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95A3C27A-F94B-45F5-AD33-2DB215D378B7}"/>
    <cellStyle name="Normal 4 6 2 2 3 2 3" xfId="11553" xr:uid="{ED96A838-4AA3-4365-85BA-EB38058B923F}"/>
    <cellStyle name="Normal 4 6 2 2 3 3" xfId="5184" xr:uid="{00000000-0005-0000-0000-00001C160000}"/>
    <cellStyle name="Normal 4 6 2 2 3 3 2" xfId="13626" xr:uid="{D5A8C127-9EE0-491A-A0B3-AD9E84562186}"/>
    <cellStyle name="Normal 4 6 2 2 3 4" xfId="9408" xr:uid="{6156B865-241D-48CE-A175-37702CC62253}"/>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E6066540-61C4-44CC-82C4-7596C5726683}"/>
    <cellStyle name="Normal 4 6 2 2 4 2 3" xfId="11966" xr:uid="{BE01EEBE-CA33-4663-97FD-B1C51BE23968}"/>
    <cellStyle name="Normal 4 6 2 2 4 3" xfId="5597" xr:uid="{00000000-0005-0000-0000-000020160000}"/>
    <cellStyle name="Normal 4 6 2 2 4 3 2" xfId="14039" xr:uid="{841F1A16-9C01-412F-8C99-08E34DBB0F7C}"/>
    <cellStyle name="Normal 4 6 2 2 4 4" xfId="9821" xr:uid="{C468361A-4C92-4459-95D1-482622F6FE68}"/>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8B2A875C-60EC-4176-93AB-AC6D35D3C9EB}"/>
    <cellStyle name="Normal 4 6 2 2 5 2 3" xfId="12379" xr:uid="{702FA469-C5AE-40F5-BB5A-883E992AF9C0}"/>
    <cellStyle name="Normal 4 6 2 2 5 3" xfId="6010" xr:uid="{00000000-0005-0000-0000-000024160000}"/>
    <cellStyle name="Normal 4 6 2 2 5 3 2" xfId="14452" xr:uid="{A2D77343-D1CF-4A37-96BB-EC7A14643BE2}"/>
    <cellStyle name="Normal 4 6 2 2 5 4" xfId="10234" xr:uid="{031C8E63-3ACC-435B-A6CA-9E254B7BBDB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AE9CD2F3-A62B-4727-B820-73FA665F5E68}"/>
    <cellStyle name="Normal 4 6 2 2 6 2 3" xfId="12792" xr:uid="{EF471FE2-6C3F-4E48-9E3D-C3CBA65B8E1D}"/>
    <cellStyle name="Normal 4 6 2 2 6 3" xfId="6423" xr:uid="{00000000-0005-0000-0000-000028160000}"/>
    <cellStyle name="Normal 4 6 2 2 6 3 2" xfId="14865" xr:uid="{050387EB-DE9D-421B-8B54-DFC5199493A1}"/>
    <cellStyle name="Normal 4 6 2 2 6 4" xfId="10647" xr:uid="{E0A4278D-EE66-4200-BC9A-8BC2EB49A878}"/>
    <cellStyle name="Normal 4 6 2 2 7" xfId="2552" xr:uid="{00000000-0005-0000-0000-000029160000}"/>
    <cellStyle name="Normal 4 6 2 2 7 2" xfId="6836" xr:uid="{00000000-0005-0000-0000-00002A160000}"/>
    <cellStyle name="Normal 4 6 2 2 7 2 2" xfId="15278" xr:uid="{BF9D8C6B-63CF-4CBB-B262-7EB117AD3A6E}"/>
    <cellStyle name="Normal 4 6 2 2 7 3" xfId="11060" xr:uid="{360DC555-9603-43F5-B56D-0B3EB63CD8A6}"/>
    <cellStyle name="Normal 4 6 2 2 8" xfId="4771" xr:uid="{00000000-0005-0000-0000-00002B160000}"/>
    <cellStyle name="Normal 4 6 2 2 8 2" xfId="13213" xr:uid="{AE47C1A8-0893-4840-BF80-DA8D94A2CEB2}"/>
    <cellStyle name="Normal 4 6 2 2 9" xfId="8995" xr:uid="{94670D67-0C84-4116-8521-5990D7689FC4}"/>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7F6A66DF-E7FF-4E11-888F-688B76AE5E37}"/>
    <cellStyle name="Normal 4 6 2 3 2 2 3" xfId="11555" xr:uid="{A34CD2E8-1915-4F80-9836-880A0642F826}"/>
    <cellStyle name="Normal 4 6 2 3 2 3" xfId="5186" xr:uid="{00000000-0005-0000-0000-000030160000}"/>
    <cellStyle name="Normal 4 6 2 3 2 3 2" xfId="13628" xr:uid="{9B66E871-926B-492B-98F3-0935F9FC6D5F}"/>
    <cellStyle name="Normal 4 6 2 3 2 4" xfId="9410" xr:uid="{DF72D083-1EA1-4028-AE69-49D1BC1EBE8F}"/>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4820E41F-B493-4FE5-9942-7F9A4823DD27}"/>
    <cellStyle name="Normal 4 6 2 3 3 2 3" xfId="11968" xr:uid="{E7455156-F327-4903-9D24-F387699A3038}"/>
    <cellStyle name="Normal 4 6 2 3 3 3" xfId="5599" xr:uid="{00000000-0005-0000-0000-000034160000}"/>
    <cellStyle name="Normal 4 6 2 3 3 3 2" xfId="14041" xr:uid="{C8AD507B-1407-4EFC-9249-41F435E88178}"/>
    <cellStyle name="Normal 4 6 2 3 3 4" xfId="9823" xr:uid="{AFD93344-BEA0-4CC7-BC20-DACEF77BA74B}"/>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512612C5-9462-48F3-949F-1D2F108DFC02}"/>
    <cellStyle name="Normal 4 6 2 3 4 2 3" xfId="12381" xr:uid="{C42FFCB5-5BA7-40CA-856A-2522ABE08A22}"/>
    <cellStyle name="Normal 4 6 2 3 4 3" xfId="6012" xr:uid="{00000000-0005-0000-0000-000038160000}"/>
    <cellStyle name="Normal 4 6 2 3 4 3 2" xfId="14454" xr:uid="{B5E96D04-DC4E-44BA-B3AA-EBBB837E5BD7}"/>
    <cellStyle name="Normal 4 6 2 3 4 4" xfId="10236" xr:uid="{02C2626D-9D1E-45D8-976E-F7AE82FA090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03FF3816-F780-4D3F-A8B7-1E07EDD76188}"/>
    <cellStyle name="Normal 4 6 2 3 5 2 3" xfId="12794" xr:uid="{7DC26C0F-164D-413D-97F5-5992AF76515A}"/>
    <cellStyle name="Normal 4 6 2 3 5 3" xfId="6425" xr:uid="{00000000-0005-0000-0000-00003C160000}"/>
    <cellStyle name="Normal 4 6 2 3 5 3 2" xfId="14867" xr:uid="{85DC4BC2-7E17-4172-B9A1-54B22D7A8659}"/>
    <cellStyle name="Normal 4 6 2 3 5 4" xfId="10649" xr:uid="{6C0B7570-A082-40E3-9A81-E402015EDC11}"/>
    <cellStyle name="Normal 4 6 2 3 6" xfId="2554" xr:uid="{00000000-0005-0000-0000-00003D160000}"/>
    <cellStyle name="Normal 4 6 2 3 6 2" xfId="6838" xr:uid="{00000000-0005-0000-0000-00003E160000}"/>
    <cellStyle name="Normal 4 6 2 3 6 2 2" xfId="15280" xr:uid="{ED3D1B10-7EBC-4933-B9D9-5F8AAEED68C2}"/>
    <cellStyle name="Normal 4 6 2 3 6 3" xfId="11062" xr:uid="{459A5829-D72B-4D35-B550-AA8353630661}"/>
    <cellStyle name="Normal 4 6 2 3 7" xfId="4773" xr:uid="{00000000-0005-0000-0000-00003F160000}"/>
    <cellStyle name="Normal 4 6 2 3 7 2" xfId="13215" xr:uid="{8B9A9180-D6D9-46FF-A359-2A47B628B4BF}"/>
    <cellStyle name="Normal 4 6 2 3 8" xfId="8997" xr:uid="{C5951D87-E2E9-4DF5-AF8E-3E712DC85752}"/>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2A962EA8-72F5-40E4-8D4A-0FAAEDCE0024}"/>
    <cellStyle name="Normal 4 6 2 4 2 3" xfId="11552" xr:uid="{90754D3D-B4FD-4277-9B49-F9D7557B9BF2}"/>
    <cellStyle name="Normal 4 6 2 4 3" xfId="5183" xr:uid="{00000000-0005-0000-0000-000043160000}"/>
    <cellStyle name="Normal 4 6 2 4 3 2" xfId="13625" xr:uid="{53B543BE-8A72-4984-8F93-C6B9DA794785}"/>
    <cellStyle name="Normal 4 6 2 4 4" xfId="9407" xr:uid="{069B303B-2614-4302-A21D-AC6755356840}"/>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0F31F751-49B7-420A-8C77-766AA3BE878D}"/>
    <cellStyle name="Normal 4 6 2 5 2 3" xfId="11965" xr:uid="{C79D6DF7-09F0-43CA-B2BE-A9086A841011}"/>
    <cellStyle name="Normal 4 6 2 5 3" xfId="5596" xr:uid="{00000000-0005-0000-0000-000047160000}"/>
    <cellStyle name="Normal 4 6 2 5 3 2" xfId="14038" xr:uid="{F5D0985C-801D-415B-B0DB-610D50A931B7}"/>
    <cellStyle name="Normal 4 6 2 5 4" xfId="9820" xr:uid="{CEADFA4E-DB29-453E-99A4-DA83AE0089EB}"/>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42CCD179-B503-410C-916D-2DF370705399}"/>
    <cellStyle name="Normal 4 6 2 6 2 3" xfId="12378" xr:uid="{0FFF9E40-0DFA-40E6-B27B-36AB63821CF9}"/>
    <cellStyle name="Normal 4 6 2 6 3" xfId="6009" xr:uid="{00000000-0005-0000-0000-00004B160000}"/>
    <cellStyle name="Normal 4 6 2 6 3 2" xfId="14451" xr:uid="{F5E73BD3-ED93-4B3E-B1B2-F57612E9A82C}"/>
    <cellStyle name="Normal 4 6 2 6 4" xfId="10233" xr:uid="{A5E6F472-B09B-4924-A793-4E108424AB0D}"/>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189749C7-5A48-43C8-9230-84857F349884}"/>
    <cellStyle name="Normal 4 6 2 7 2 3" xfId="12791" xr:uid="{ECC9CAA8-4D1E-4198-80BD-D38919BFDCD1}"/>
    <cellStyle name="Normal 4 6 2 7 3" xfId="6422" xr:uid="{00000000-0005-0000-0000-00004F160000}"/>
    <cellStyle name="Normal 4 6 2 7 3 2" xfId="14864" xr:uid="{C565059E-35DF-4CA6-92B6-1993105D7F23}"/>
    <cellStyle name="Normal 4 6 2 7 4" xfId="10646" xr:uid="{68337952-023E-4728-8CD9-CEA3E83AE720}"/>
    <cellStyle name="Normal 4 6 2 8" xfId="2551" xr:uid="{00000000-0005-0000-0000-000050160000}"/>
    <cellStyle name="Normal 4 6 2 8 2" xfId="6835" xr:uid="{00000000-0005-0000-0000-000051160000}"/>
    <cellStyle name="Normal 4 6 2 8 2 2" xfId="15277" xr:uid="{AF1182BD-0405-44D7-80CE-EA4DE2B0256A}"/>
    <cellStyle name="Normal 4 6 2 8 3" xfId="11059" xr:uid="{C96DFFB7-A407-479D-B217-B5C257B904D2}"/>
    <cellStyle name="Normal 4 6 2 9" xfId="4770" xr:uid="{00000000-0005-0000-0000-000052160000}"/>
    <cellStyle name="Normal 4 6 2 9 2" xfId="13212" xr:uid="{A2577377-E230-4ED3-BD16-0CC253C4291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B31423DB-17D1-44FB-B36A-4D269688C05B}"/>
    <cellStyle name="Normal 4 6 3 2 2 2 3" xfId="11557" xr:uid="{316E5284-770F-4B79-8A10-A038B5686292}"/>
    <cellStyle name="Normal 4 6 3 2 2 3" xfId="5188" xr:uid="{00000000-0005-0000-0000-000058160000}"/>
    <cellStyle name="Normal 4 6 3 2 2 3 2" xfId="13630" xr:uid="{5C7DD088-960E-4F11-B6D3-69D8DA5F6561}"/>
    <cellStyle name="Normal 4 6 3 2 2 4" xfId="9412" xr:uid="{D2AC2A3D-332C-4DFF-8AD8-5D5CE520B1CE}"/>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ACCE5DCF-FC8A-441B-9B26-C3F3E579BD4A}"/>
    <cellStyle name="Normal 4 6 3 2 3 2 3" xfId="11970" xr:uid="{4F609F94-7E4E-46C1-9C41-927C3FF4AE22}"/>
    <cellStyle name="Normal 4 6 3 2 3 3" xfId="5601" xr:uid="{00000000-0005-0000-0000-00005C160000}"/>
    <cellStyle name="Normal 4 6 3 2 3 3 2" xfId="14043" xr:uid="{F410CEC7-5636-44C5-A1A3-D1F458DE4FA6}"/>
    <cellStyle name="Normal 4 6 3 2 3 4" xfId="9825" xr:uid="{FE1E1F7C-242A-492A-AC03-CA05A1CA6199}"/>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972CD164-C28B-42AC-B8BD-1EAB8CA8D54E}"/>
    <cellStyle name="Normal 4 6 3 2 4 2 3" xfId="12383" xr:uid="{EE3606AC-E3DC-47EF-921B-082B5B257745}"/>
    <cellStyle name="Normal 4 6 3 2 4 3" xfId="6014" xr:uid="{00000000-0005-0000-0000-000060160000}"/>
    <cellStyle name="Normal 4 6 3 2 4 3 2" xfId="14456" xr:uid="{3379B806-3840-4D6E-B5C4-3BB61DB922A5}"/>
    <cellStyle name="Normal 4 6 3 2 4 4" xfId="10238" xr:uid="{D9D1CD29-2EC3-42E0-BBC3-1331F34C4F4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5332E493-3490-48D4-94E1-F3A885FDA35A}"/>
    <cellStyle name="Normal 4 6 3 2 5 2 3" xfId="12796" xr:uid="{5BED1C5A-B6B2-4BCA-8769-41EA261F1440}"/>
    <cellStyle name="Normal 4 6 3 2 5 3" xfId="6427" xr:uid="{00000000-0005-0000-0000-000064160000}"/>
    <cellStyle name="Normal 4 6 3 2 5 3 2" xfId="14869" xr:uid="{F9179C1F-D25D-4638-A2CE-E14010DAB183}"/>
    <cellStyle name="Normal 4 6 3 2 5 4" xfId="10651" xr:uid="{1CD3FE21-38D9-4136-9E6E-70244D379AE3}"/>
    <cellStyle name="Normal 4 6 3 2 6" xfId="2556" xr:uid="{00000000-0005-0000-0000-000065160000}"/>
    <cellStyle name="Normal 4 6 3 2 6 2" xfId="6840" xr:uid="{00000000-0005-0000-0000-000066160000}"/>
    <cellStyle name="Normal 4 6 3 2 6 2 2" xfId="15282" xr:uid="{44145C47-EF40-457D-BDA0-7103AED8ACD5}"/>
    <cellStyle name="Normal 4 6 3 2 6 3" xfId="11064" xr:uid="{79F81B73-B34A-436E-AAB4-347E4C4D8DEE}"/>
    <cellStyle name="Normal 4 6 3 2 7" xfId="4775" xr:uid="{00000000-0005-0000-0000-000067160000}"/>
    <cellStyle name="Normal 4 6 3 2 7 2" xfId="13217" xr:uid="{286F80D4-9082-42F1-9A63-E0C8F0A50E69}"/>
    <cellStyle name="Normal 4 6 3 2 8" xfId="8999" xr:uid="{E4F8F51A-161E-4A4A-BA7D-B1BE5B761A23}"/>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F0A59F8F-A905-4E3B-819A-F01A47E01751}"/>
    <cellStyle name="Normal 4 6 3 3 2 3" xfId="11556" xr:uid="{EFDA7AFE-7B45-405C-9C49-A26AF4CD8A75}"/>
    <cellStyle name="Normal 4 6 3 3 3" xfId="5187" xr:uid="{00000000-0005-0000-0000-00006B160000}"/>
    <cellStyle name="Normal 4 6 3 3 3 2" xfId="13629" xr:uid="{4B996D78-32CF-4638-9A54-3C66187043A4}"/>
    <cellStyle name="Normal 4 6 3 3 4" xfId="9411" xr:uid="{3CF1B97C-7C24-41EC-A709-ABAAB9A25FE9}"/>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65BB3EBB-D394-410E-8777-558DF0E54AD8}"/>
    <cellStyle name="Normal 4 6 3 4 2 3" xfId="11969" xr:uid="{01781770-95C8-49FB-B616-8427827FEBB6}"/>
    <cellStyle name="Normal 4 6 3 4 3" xfId="5600" xr:uid="{00000000-0005-0000-0000-00006F160000}"/>
    <cellStyle name="Normal 4 6 3 4 3 2" xfId="14042" xr:uid="{299DDAE7-235C-4219-880D-CEE91E577C51}"/>
    <cellStyle name="Normal 4 6 3 4 4" xfId="9824" xr:uid="{48FB07B9-06EA-448A-AEDF-A3C987A0B55B}"/>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B0C410E3-2DB5-410E-A0D8-E99BAEDDA991}"/>
    <cellStyle name="Normal 4 6 3 5 2 3" xfId="12382" xr:uid="{A1C7DCBC-308E-49F6-9FB3-ADBB0696D050}"/>
    <cellStyle name="Normal 4 6 3 5 3" xfId="6013" xr:uid="{00000000-0005-0000-0000-000073160000}"/>
    <cellStyle name="Normal 4 6 3 5 3 2" xfId="14455" xr:uid="{42ECB42E-EC1F-42D3-ACAA-A1DBCBF572EF}"/>
    <cellStyle name="Normal 4 6 3 5 4" xfId="10237" xr:uid="{EB1CED3A-EC27-4F4C-983F-F8393F85FAC1}"/>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0602EEAE-DCF8-46AE-AA5B-C2CF11F18F62}"/>
    <cellStyle name="Normal 4 6 3 6 2 3" xfId="12795" xr:uid="{6CEEA3BE-A867-4C7F-8639-3D5C0364191A}"/>
    <cellStyle name="Normal 4 6 3 6 3" xfId="6426" xr:uid="{00000000-0005-0000-0000-000077160000}"/>
    <cellStyle name="Normal 4 6 3 6 3 2" xfId="14868" xr:uid="{C65ABC02-BB63-4DFD-BA53-9BDC99BDA9EB}"/>
    <cellStyle name="Normal 4 6 3 6 4" xfId="10650" xr:uid="{431E7733-FE7C-497C-B5AE-CA43E63159DA}"/>
    <cellStyle name="Normal 4 6 3 7" xfId="2555" xr:uid="{00000000-0005-0000-0000-000078160000}"/>
    <cellStyle name="Normal 4 6 3 7 2" xfId="6839" xr:uid="{00000000-0005-0000-0000-000079160000}"/>
    <cellStyle name="Normal 4 6 3 7 2 2" xfId="15281" xr:uid="{2454EF68-CB7C-4379-8EC1-C6CDA619FD0B}"/>
    <cellStyle name="Normal 4 6 3 7 3" xfId="11063" xr:uid="{9C62FFC4-A963-4AEC-8B60-51EAE2539286}"/>
    <cellStyle name="Normal 4 6 3 8" xfId="4774" xr:uid="{00000000-0005-0000-0000-00007A160000}"/>
    <cellStyle name="Normal 4 6 3 8 2" xfId="13216" xr:uid="{8A78251B-24BB-4BAC-A806-E2F0356BA08F}"/>
    <cellStyle name="Normal 4 6 3 9" xfId="8998" xr:uid="{E39E8EB0-CDB9-49B6-84A2-D1A7D089AFDB}"/>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C1307C0D-3D87-4CBA-AB9B-00B7597E9C23}"/>
    <cellStyle name="Normal 4 6 4 2 2 3" xfId="11558" xr:uid="{1A38B50D-678E-4C6A-9D31-70EDB0AF6FB0}"/>
    <cellStyle name="Normal 4 6 4 2 3" xfId="5189" xr:uid="{00000000-0005-0000-0000-00007F160000}"/>
    <cellStyle name="Normal 4 6 4 2 3 2" xfId="13631" xr:uid="{A56985D8-243D-4EFA-9030-85F94C2ED66A}"/>
    <cellStyle name="Normal 4 6 4 2 4" xfId="9413" xr:uid="{3602F33E-E07C-477F-B1D8-E2A4EB1171FA}"/>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A38E0D46-3A4B-40E8-A2A4-D81476A53819}"/>
    <cellStyle name="Normal 4 6 4 3 2 3" xfId="11971" xr:uid="{018BA82E-68B2-425F-A6C1-45DBD15AA57F}"/>
    <cellStyle name="Normal 4 6 4 3 3" xfId="5602" xr:uid="{00000000-0005-0000-0000-000083160000}"/>
    <cellStyle name="Normal 4 6 4 3 3 2" xfId="14044" xr:uid="{08D2B238-9BF4-4950-8A97-C444DECE40D6}"/>
    <cellStyle name="Normal 4 6 4 3 4" xfId="9826" xr:uid="{96859048-DBF1-4B7C-A9D9-C8831A410401}"/>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0F0BFEC4-8729-414C-923F-8A1D09648C44}"/>
    <cellStyle name="Normal 4 6 4 4 2 3" xfId="12384" xr:uid="{4247138A-ED12-42FD-A5A2-746FD942160D}"/>
    <cellStyle name="Normal 4 6 4 4 3" xfId="6015" xr:uid="{00000000-0005-0000-0000-000087160000}"/>
    <cellStyle name="Normal 4 6 4 4 3 2" xfId="14457" xr:uid="{D64C6947-3703-4912-91B8-2E387C8FDC3F}"/>
    <cellStyle name="Normal 4 6 4 4 4" xfId="10239" xr:uid="{BE218A49-ACF6-44FE-B35E-CC3BBEF27AC5}"/>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D88BC531-D7B7-4D5B-9348-7221768BFA7C}"/>
    <cellStyle name="Normal 4 6 4 5 2 3" xfId="12797" xr:uid="{BFD3ECD3-91A3-405B-A07D-B8E834A4497D}"/>
    <cellStyle name="Normal 4 6 4 5 3" xfId="6428" xr:uid="{00000000-0005-0000-0000-00008B160000}"/>
    <cellStyle name="Normal 4 6 4 5 3 2" xfId="14870" xr:uid="{D3A33A67-2311-4C34-8185-EC1B0DBDEFFD}"/>
    <cellStyle name="Normal 4 6 4 5 4" xfId="10652" xr:uid="{2130A097-7A99-4F71-96F3-3D1C1822B6CF}"/>
    <cellStyle name="Normal 4 6 4 6" xfId="2557" xr:uid="{00000000-0005-0000-0000-00008C160000}"/>
    <cellStyle name="Normal 4 6 4 6 2" xfId="6841" xr:uid="{00000000-0005-0000-0000-00008D160000}"/>
    <cellStyle name="Normal 4 6 4 6 2 2" xfId="15283" xr:uid="{757EB52C-7FBB-49FB-9986-B31936CB14B9}"/>
    <cellStyle name="Normal 4 6 4 6 3" xfId="11065" xr:uid="{98F393AE-BC15-4595-A953-310BF4656AAC}"/>
    <cellStyle name="Normal 4 6 4 7" xfId="4776" xr:uid="{00000000-0005-0000-0000-00008E160000}"/>
    <cellStyle name="Normal 4 6 4 7 2" xfId="13218" xr:uid="{32707623-DF96-488C-8358-62301CE67466}"/>
    <cellStyle name="Normal 4 6 4 8" xfId="9000" xr:uid="{E7D14352-5B2E-4A79-9ED6-2D59AD385AB9}"/>
    <cellStyle name="Normal 4 6 5" xfId="869" xr:uid="{00000000-0005-0000-0000-00008F160000}"/>
    <cellStyle name="Normal 4 6 5 2" xfId="3104" xr:uid="{00000000-0005-0000-0000-000090160000}"/>
    <cellStyle name="Normal 4 6 5 2 2" xfId="7327" xr:uid="{00000000-0005-0000-0000-000091160000}"/>
    <cellStyle name="Normal 4 6 5 2 2 2" xfId="15769" xr:uid="{DFD741BC-9C9D-4834-A3AD-ED9BEAC2C384}"/>
    <cellStyle name="Normal 4 6 5 2 3" xfId="11551" xr:uid="{8BAE445F-BC92-4AAA-98BF-7A0D2E33F92B}"/>
    <cellStyle name="Normal 4 6 5 3" xfId="5182" xr:uid="{00000000-0005-0000-0000-000092160000}"/>
    <cellStyle name="Normal 4 6 5 3 2" xfId="13624" xr:uid="{28031C18-19F7-44FF-B911-8E2034E9512C}"/>
    <cellStyle name="Normal 4 6 5 4" xfId="9406" xr:uid="{01FAC2AE-E69B-42E7-A223-4B399F7E30D0}"/>
    <cellStyle name="Normal 4 6 6" xfId="1287" xr:uid="{00000000-0005-0000-0000-000093160000}"/>
    <cellStyle name="Normal 4 6 6 2" xfId="3517" xr:uid="{00000000-0005-0000-0000-000094160000}"/>
    <cellStyle name="Normal 4 6 6 2 2" xfId="7740" xr:uid="{00000000-0005-0000-0000-000095160000}"/>
    <cellStyle name="Normal 4 6 6 2 2 2" xfId="16182" xr:uid="{B8804668-57DC-4A9E-9CBA-97A016A0CBBD}"/>
    <cellStyle name="Normal 4 6 6 2 3" xfId="11964" xr:uid="{E6B823D5-9EF4-49C7-9005-304705AEA32F}"/>
    <cellStyle name="Normal 4 6 6 3" xfId="5595" xr:uid="{00000000-0005-0000-0000-000096160000}"/>
    <cellStyle name="Normal 4 6 6 3 2" xfId="14037" xr:uid="{EDCE9216-E0C3-492C-8298-84CFD85463F5}"/>
    <cellStyle name="Normal 4 6 6 4" xfId="9819" xr:uid="{0D1E49A7-9E25-4B7E-BB52-5FA9AF4A1473}"/>
    <cellStyle name="Normal 4 6 7" xfId="1700" xr:uid="{00000000-0005-0000-0000-000097160000}"/>
    <cellStyle name="Normal 4 6 7 2" xfId="3930" xr:uid="{00000000-0005-0000-0000-000098160000}"/>
    <cellStyle name="Normal 4 6 7 2 2" xfId="8153" xr:uid="{00000000-0005-0000-0000-000099160000}"/>
    <cellStyle name="Normal 4 6 7 2 2 2" xfId="16595" xr:uid="{5B4CB37D-0406-4245-A855-ECA3C0673B79}"/>
    <cellStyle name="Normal 4 6 7 2 3" xfId="12377" xr:uid="{D5D0BCEF-B9AB-4937-AAF6-166A82DF5A10}"/>
    <cellStyle name="Normal 4 6 7 3" xfId="6008" xr:uid="{00000000-0005-0000-0000-00009A160000}"/>
    <cellStyle name="Normal 4 6 7 3 2" xfId="14450" xr:uid="{12F6BC67-0692-4F2E-8B8B-4E7DE2910377}"/>
    <cellStyle name="Normal 4 6 7 4" xfId="10232" xr:uid="{759F3DFB-65F9-4F15-97F3-0B48582D1510}"/>
    <cellStyle name="Normal 4 6 8" xfId="2114" xr:uid="{00000000-0005-0000-0000-00009B160000}"/>
    <cellStyle name="Normal 4 6 8 2" xfId="4343" xr:uid="{00000000-0005-0000-0000-00009C160000}"/>
    <cellStyle name="Normal 4 6 8 2 2" xfId="8566" xr:uid="{00000000-0005-0000-0000-00009D160000}"/>
    <cellStyle name="Normal 4 6 8 2 2 2" xfId="17008" xr:uid="{B3419B3C-6A63-42A7-B811-6E3DB659746D}"/>
    <cellStyle name="Normal 4 6 8 2 3" xfId="12790" xr:uid="{D4C28A04-E92C-46D5-8A64-8D3CAFC65C67}"/>
    <cellStyle name="Normal 4 6 8 3" xfId="6421" xr:uid="{00000000-0005-0000-0000-00009E160000}"/>
    <cellStyle name="Normal 4 6 8 3 2" xfId="14863" xr:uid="{3ADAFA7D-A155-4653-8052-12E90F311F0F}"/>
    <cellStyle name="Normal 4 6 8 4" xfId="10645" xr:uid="{BCC547FC-A8A2-4FE5-8E6E-4678E7988FF6}"/>
    <cellStyle name="Normal 4 6 9" xfId="2550" xr:uid="{00000000-0005-0000-0000-00009F160000}"/>
    <cellStyle name="Normal 4 6 9 2" xfId="6834" xr:uid="{00000000-0005-0000-0000-0000A0160000}"/>
    <cellStyle name="Normal 4 6 9 2 2" xfId="15276" xr:uid="{9B14BF27-48A5-4E30-93C3-B2B5C0D2A6A7}"/>
    <cellStyle name="Normal 4 6 9 3" xfId="11058" xr:uid="{553808F0-76EA-482F-AE73-84EDA7383043}"/>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3750A7BE-1411-42DD-9C15-5E222B990111}"/>
    <cellStyle name="Normal 4 7 2 2 2 3" xfId="11560" xr:uid="{B47E0DC7-AC0A-4A52-A5B7-C9482FE39EF7}"/>
    <cellStyle name="Normal 4 7 2 2 3" xfId="5191" xr:uid="{00000000-0005-0000-0000-0000A6160000}"/>
    <cellStyle name="Normal 4 7 2 2 3 2" xfId="13633" xr:uid="{06E59770-CABD-4732-8E49-CDECAB9C8882}"/>
    <cellStyle name="Normal 4 7 2 2 4" xfId="9415" xr:uid="{FFEB207F-922F-4215-A523-1910F07F8055}"/>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6913752B-47F8-4FB6-8AA2-057188ED2228}"/>
    <cellStyle name="Normal 4 7 2 3 2 3" xfId="11973" xr:uid="{1C4AE393-20DA-4585-9183-CA065F7EEA97}"/>
    <cellStyle name="Normal 4 7 2 3 3" xfId="5604" xr:uid="{00000000-0005-0000-0000-0000AA160000}"/>
    <cellStyle name="Normal 4 7 2 3 3 2" xfId="14046" xr:uid="{ADF9EBA8-4C07-4548-9395-2F34A743DF5D}"/>
    <cellStyle name="Normal 4 7 2 3 4" xfId="9828" xr:uid="{3FB67E8A-466F-4F88-BEE1-690D8FCB2260}"/>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A8132185-C967-4A2B-B5CB-F2DF1C6962F1}"/>
    <cellStyle name="Normal 4 7 2 4 2 3" xfId="12386" xr:uid="{9EC4ABF1-BEA9-4DA4-9AD1-F8AB493DD10A}"/>
    <cellStyle name="Normal 4 7 2 4 3" xfId="6017" xr:uid="{00000000-0005-0000-0000-0000AE160000}"/>
    <cellStyle name="Normal 4 7 2 4 3 2" xfId="14459" xr:uid="{2EB0D0F2-37FF-4D63-8325-C618091C8AFE}"/>
    <cellStyle name="Normal 4 7 2 4 4" xfId="10241" xr:uid="{A292CAEC-BDC4-4C71-84F1-FC4404B500AE}"/>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68C15945-BC01-408A-85BF-C692558C97B1}"/>
    <cellStyle name="Normal 4 7 2 5 2 3" xfId="12799" xr:uid="{290DFE36-1964-4B23-8191-3270B6036DE8}"/>
    <cellStyle name="Normal 4 7 2 5 3" xfId="6430" xr:uid="{00000000-0005-0000-0000-0000B2160000}"/>
    <cellStyle name="Normal 4 7 2 5 3 2" xfId="14872" xr:uid="{48DF6408-8F6D-40CB-B1BF-CA9144D33CDA}"/>
    <cellStyle name="Normal 4 7 2 5 4" xfId="10654" xr:uid="{37485223-7F80-4716-9649-E00B82BD99BA}"/>
    <cellStyle name="Normal 4 7 2 6" xfId="2559" xr:uid="{00000000-0005-0000-0000-0000B3160000}"/>
    <cellStyle name="Normal 4 7 2 6 2" xfId="6843" xr:uid="{00000000-0005-0000-0000-0000B4160000}"/>
    <cellStyle name="Normal 4 7 2 6 2 2" xfId="15285" xr:uid="{54AA9E0A-DE65-44EB-9A76-294B3F125ADA}"/>
    <cellStyle name="Normal 4 7 2 6 3" xfId="11067" xr:uid="{A350CAB4-4B95-4238-8230-BE12F71A5C47}"/>
    <cellStyle name="Normal 4 7 2 7" xfId="4778" xr:uid="{00000000-0005-0000-0000-0000B5160000}"/>
    <cellStyle name="Normal 4 7 2 7 2" xfId="13220" xr:uid="{75F0A118-A20D-494A-B613-65B85D937365}"/>
    <cellStyle name="Normal 4 7 2 8" xfId="9002" xr:uid="{E1CD0736-86AB-43D9-B6B5-030BE9FD4D91}"/>
    <cellStyle name="Normal 4 7 3" xfId="877" xr:uid="{00000000-0005-0000-0000-0000B6160000}"/>
    <cellStyle name="Normal 4 7 3 2" xfId="3112" xr:uid="{00000000-0005-0000-0000-0000B7160000}"/>
    <cellStyle name="Normal 4 7 3 2 2" xfId="7335" xr:uid="{00000000-0005-0000-0000-0000B8160000}"/>
    <cellStyle name="Normal 4 7 3 2 2 2" xfId="15777" xr:uid="{E551F3FB-D025-4AE8-9D3C-21A6E866F1A1}"/>
    <cellStyle name="Normal 4 7 3 2 3" xfId="11559" xr:uid="{F0D409C1-86A7-4144-9CD4-CC99FB4443E9}"/>
    <cellStyle name="Normal 4 7 3 3" xfId="5190" xr:uid="{00000000-0005-0000-0000-0000B9160000}"/>
    <cellStyle name="Normal 4 7 3 3 2" xfId="13632" xr:uid="{D8289A25-4C3C-464B-B7E1-7EB1BFC8C8DC}"/>
    <cellStyle name="Normal 4 7 3 4" xfId="9414" xr:uid="{7A0F3CF8-711A-473A-9867-801FA7CF60A8}"/>
    <cellStyle name="Normal 4 7 4" xfId="1295" xr:uid="{00000000-0005-0000-0000-0000BA160000}"/>
    <cellStyle name="Normal 4 7 4 2" xfId="3525" xr:uid="{00000000-0005-0000-0000-0000BB160000}"/>
    <cellStyle name="Normal 4 7 4 2 2" xfId="7748" xr:uid="{00000000-0005-0000-0000-0000BC160000}"/>
    <cellStyle name="Normal 4 7 4 2 2 2" xfId="16190" xr:uid="{7DD61CA8-936C-4AE6-9B1B-B88CC27E8AC5}"/>
    <cellStyle name="Normal 4 7 4 2 3" xfId="11972" xr:uid="{5F39ACDC-8B23-42B4-A470-187F689BCCAB}"/>
    <cellStyle name="Normal 4 7 4 3" xfId="5603" xr:uid="{00000000-0005-0000-0000-0000BD160000}"/>
    <cellStyle name="Normal 4 7 4 3 2" xfId="14045" xr:uid="{C19DFB57-7CD3-4C34-BF27-82A3896F067B}"/>
    <cellStyle name="Normal 4 7 4 4" xfId="9827" xr:uid="{75C59FF0-8F0E-4530-AB97-F79A3C7C7464}"/>
    <cellStyle name="Normal 4 7 5" xfId="1708" xr:uid="{00000000-0005-0000-0000-0000BE160000}"/>
    <cellStyle name="Normal 4 7 5 2" xfId="3938" xr:uid="{00000000-0005-0000-0000-0000BF160000}"/>
    <cellStyle name="Normal 4 7 5 2 2" xfId="8161" xr:uid="{00000000-0005-0000-0000-0000C0160000}"/>
    <cellStyle name="Normal 4 7 5 2 2 2" xfId="16603" xr:uid="{FB37998E-FDBD-43DA-8189-1D2343804A31}"/>
    <cellStyle name="Normal 4 7 5 2 3" xfId="12385" xr:uid="{A9701251-3D66-4ED5-B227-71CB7AF20324}"/>
    <cellStyle name="Normal 4 7 5 3" xfId="6016" xr:uid="{00000000-0005-0000-0000-0000C1160000}"/>
    <cellStyle name="Normal 4 7 5 3 2" xfId="14458" xr:uid="{99A8F231-7F8D-42BC-B270-5E5454D55673}"/>
    <cellStyle name="Normal 4 7 5 4" xfId="10240" xr:uid="{0D1659E0-0A9E-4597-8D48-D90AA478AB25}"/>
    <cellStyle name="Normal 4 7 6" xfId="2122" xr:uid="{00000000-0005-0000-0000-0000C2160000}"/>
    <cellStyle name="Normal 4 7 6 2" xfId="4351" xr:uid="{00000000-0005-0000-0000-0000C3160000}"/>
    <cellStyle name="Normal 4 7 6 2 2" xfId="8574" xr:uid="{00000000-0005-0000-0000-0000C4160000}"/>
    <cellStyle name="Normal 4 7 6 2 2 2" xfId="17016" xr:uid="{77E745DC-1C95-4D99-850A-8C03F5265BF8}"/>
    <cellStyle name="Normal 4 7 6 2 3" xfId="12798" xr:uid="{9FF122AC-0B75-400D-B4B0-E7962A0D0E25}"/>
    <cellStyle name="Normal 4 7 6 3" xfId="6429" xr:uid="{00000000-0005-0000-0000-0000C5160000}"/>
    <cellStyle name="Normal 4 7 6 3 2" xfId="14871" xr:uid="{9B56C2D5-CAD0-4745-90CB-8CA30430F3A2}"/>
    <cellStyle name="Normal 4 7 6 4" xfId="10653" xr:uid="{45A58C3E-A365-4BE1-9FE2-F46D59C44558}"/>
    <cellStyle name="Normal 4 7 7" xfId="2558" xr:uid="{00000000-0005-0000-0000-0000C6160000}"/>
    <cellStyle name="Normal 4 7 7 2" xfId="6842" xr:uid="{00000000-0005-0000-0000-0000C7160000}"/>
    <cellStyle name="Normal 4 7 7 2 2" xfId="15284" xr:uid="{5B37F6F4-8C7F-4991-A621-B070B28113B3}"/>
    <cellStyle name="Normal 4 7 7 3" xfId="11066" xr:uid="{07C13C3C-9EC2-4A3F-A40B-AE43BF42A6EC}"/>
    <cellStyle name="Normal 4 7 8" xfId="4777" xr:uid="{00000000-0005-0000-0000-0000C8160000}"/>
    <cellStyle name="Normal 4 7 8 2" xfId="13219" xr:uid="{678EC290-0E92-4DBB-9A0F-321B165AE447}"/>
    <cellStyle name="Normal 4 7 9" xfId="9001" xr:uid="{F117987A-76AE-485D-85DB-9BEBEACB899B}"/>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F5F1673B-15B6-43DF-B700-4CCD10946ECB}"/>
    <cellStyle name="Normal 4 8 2 2 3" xfId="11561" xr:uid="{B6F0F6E9-1C13-485D-B55E-660DD06B232C}"/>
    <cellStyle name="Normal 4 8 2 3" xfId="5192" xr:uid="{00000000-0005-0000-0000-0000CD160000}"/>
    <cellStyle name="Normal 4 8 2 3 2" xfId="13634" xr:uid="{C2EA076E-5325-44B2-9122-03D7F109AED3}"/>
    <cellStyle name="Normal 4 8 2 4" xfId="9416" xr:uid="{57C395F0-72C4-4F8D-BC45-1EC29D2BA564}"/>
    <cellStyle name="Normal 4 8 3" xfId="1297" xr:uid="{00000000-0005-0000-0000-0000CE160000}"/>
    <cellStyle name="Normal 4 8 3 2" xfId="3527" xr:uid="{00000000-0005-0000-0000-0000CF160000}"/>
    <cellStyle name="Normal 4 8 3 2 2" xfId="7750" xr:uid="{00000000-0005-0000-0000-0000D0160000}"/>
    <cellStyle name="Normal 4 8 3 2 2 2" xfId="16192" xr:uid="{ABD28E4C-FC7A-4EF0-B5BE-C46CED671CF1}"/>
    <cellStyle name="Normal 4 8 3 2 3" xfId="11974" xr:uid="{A2535929-A0DE-40B5-BF0A-10D9037AB703}"/>
    <cellStyle name="Normal 4 8 3 3" xfId="5605" xr:uid="{00000000-0005-0000-0000-0000D1160000}"/>
    <cellStyle name="Normal 4 8 3 3 2" xfId="14047" xr:uid="{958D33D2-F2CC-4085-ABE5-0FB570BCB91F}"/>
    <cellStyle name="Normal 4 8 3 4" xfId="9829" xr:uid="{A11ACA64-16E9-4B02-9E04-61D33C583F45}"/>
    <cellStyle name="Normal 4 8 4" xfId="1710" xr:uid="{00000000-0005-0000-0000-0000D2160000}"/>
    <cellStyle name="Normal 4 8 4 2" xfId="3940" xr:uid="{00000000-0005-0000-0000-0000D3160000}"/>
    <cellStyle name="Normal 4 8 4 2 2" xfId="8163" xr:uid="{00000000-0005-0000-0000-0000D4160000}"/>
    <cellStyle name="Normal 4 8 4 2 2 2" xfId="16605" xr:uid="{F2A1022A-6C67-49CA-BDB6-0E9E3FA2FF54}"/>
    <cellStyle name="Normal 4 8 4 2 3" xfId="12387" xr:uid="{E5C4C11B-D851-4D7D-90D3-053AB14B506F}"/>
    <cellStyle name="Normal 4 8 4 3" xfId="6018" xr:uid="{00000000-0005-0000-0000-0000D5160000}"/>
    <cellStyle name="Normal 4 8 4 3 2" xfId="14460" xr:uid="{3ADE7FCC-8D5E-4820-8860-856D252DA8C7}"/>
    <cellStyle name="Normal 4 8 4 4" xfId="10242" xr:uid="{6F8689C8-3E15-42AF-8E17-8217B07798FD}"/>
    <cellStyle name="Normal 4 8 5" xfId="2124" xr:uid="{00000000-0005-0000-0000-0000D6160000}"/>
    <cellStyle name="Normal 4 8 5 2" xfId="4353" xr:uid="{00000000-0005-0000-0000-0000D7160000}"/>
    <cellStyle name="Normal 4 8 5 2 2" xfId="8576" xr:uid="{00000000-0005-0000-0000-0000D8160000}"/>
    <cellStyle name="Normal 4 8 5 2 2 2" xfId="17018" xr:uid="{1E9F875D-A6EF-454E-A855-21B21DFAFAC7}"/>
    <cellStyle name="Normal 4 8 5 2 3" xfId="12800" xr:uid="{E7807B46-C21C-4FE4-A4C5-50F5D6FD2564}"/>
    <cellStyle name="Normal 4 8 5 3" xfId="6431" xr:uid="{00000000-0005-0000-0000-0000D9160000}"/>
    <cellStyle name="Normal 4 8 5 3 2" xfId="14873" xr:uid="{0F7672E7-4C00-4105-A21D-C507CC06E299}"/>
    <cellStyle name="Normal 4 8 5 4" xfId="10655" xr:uid="{0528B69D-B757-4782-9949-1B35A4F57E4A}"/>
    <cellStyle name="Normal 4 8 6" xfId="2560" xr:uid="{00000000-0005-0000-0000-0000DA160000}"/>
    <cellStyle name="Normal 4 8 6 2" xfId="6844" xr:uid="{00000000-0005-0000-0000-0000DB160000}"/>
    <cellStyle name="Normal 4 8 6 2 2" xfId="15286" xr:uid="{D6081670-2AB8-4209-AF27-A4BC69FD74AB}"/>
    <cellStyle name="Normal 4 8 6 3" xfId="11068" xr:uid="{B5F66C25-E061-4483-B8F2-770E062DD7E2}"/>
    <cellStyle name="Normal 4 8 7" xfId="4779" xr:uid="{00000000-0005-0000-0000-0000DC160000}"/>
    <cellStyle name="Normal 4 8 7 2" xfId="13221" xr:uid="{C2CEC053-4B27-4BDF-88E6-3ACD4EB18652}"/>
    <cellStyle name="Normal 4 8 8" xfId="9003" xr:uid="{BB9CD874-8C09-4030-86B8-53F88F0F38A0}"/>
    <cellStyle name="Normal 4 9" xfId="4716" xr:uid="{00000000-0005-0000-0000-0000DD160000}"/>
    <cellStyle name="Normal 4 9 2" xfId="13158" xr:uid="{40E755C2-51B7-4FAB-903B-17BAA3D3F2AF}"/>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92A9CA45-ABCB-48F4-AC04-B870EB6D95EB}"/>
    <cellStyle name="Normal 5 10 2 3" xfId="12388" xr:uid="{FE67CF81-4027-44EB-BD3B-AE0D40BEE729}"/>
    <cellStyle name="Normal 5 10 3" xfId="6019" xr:uid="{00000000-0005-0000-0000-0000E2160000}"/>
    <cellStyle name="Normal 5 10 3 2" xfId="14461" xr:uid="{A983D8F5-B27B-460B-8404-C2512E238EFC}"/>
    <cellStyle name="Normal 5 10 4" xfId="10243" xr:uid="{A878D229-B5E8-493B-9353-909EAB6E95E4}"/>
    <cellStyle name="Normal 5 11" xfId="2125" xr:uid="{00000000-0005-0000-0000-0000E3160000}"/>
    <cellStyle name="Normal 5 11 2" xfId="4354" xr:uid="{00000000-0005-0000-0000-0000E4160000}"/>
    <cellStyle name="Normal 5 11 2 2" xfId="8577" xr:uid="{00000000-0005-0000-0000-0000E5160000}"/>
    <cellStyle name="Normal 5 11 2 2 2" xfId="17019" xr:uid="{CE8D53FD-370B-4BE3-BCAB-8A6654E75C74}"/>
    <cellStyle name="Normal 5 11 2 3" xfId="12801" xr:uid="{E0033F42-8136-4703-9700-3EDD14BCC77C}"/>
    <cellStyle name="Normal 5 11 3" xfId="6432" xr:uid="{00000000-0005-0000-0000-0000E6160000}"/>
    <cellStyle name="Normal 5 11 3 2" xfId="14874" xr:uid="{D85A589A-CCCE-4F32-AE7D-A74A5952B547}"/>
    <cellStyle name="Normal 5 11 4" xfId="10656" xr:uid="{F661C09F-31C2-44E9-88D1-6D233EA5C652}"/>
    <cellStyle name="Normal 5 12" xfId="2561" xr:uid="{00000000-0005-0000-0000-0000E7160000}"/>
    <cellStyle name="Normal 5 12 2" xfId="6845" xr:uid="{00000000-0005-0000-0000-0000E8160000}"/>
    <cellStyle name="Normal 5 12 2 2" xfId="15287" xr:uid="{74DC620F-C3D8-4DCD-8A8E-8668D2884CA2}"/>
    <cellStyle name="Normal 5 12 3" xfId="11069" xr:uid="{040D638A-93ED-46B6-8843-3C19145C13D5}"/>
    <cellStyle name="Normal 5 13" xfId="4780" xr:uid="{00000000-0005-0000-0000-0000E9160000}"/>
    <cellStyle name="Normal 5 13 2" xfId="13222" xr:uid="{8EBA636A-B7AA-483E-8C1E-5FDDBA097EB0}"/>
    <cellStyle name="Normal 5 14" xfId="9004" xr:uid="{28223E36-0217-425F-AED0-59582C4EB545}"/>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42BBE7B6-98DB-4E55-A780-85444B9CD9B4}"/>
    <cellStyle name="Normal 5 2 10 2 3" xfId="12802" xr:uid="{B2B50775-023C-406D-9501-295CCAFAF157}"/>
    <cellStyle name="Normal 5 2 10 3" xfId="6433" xr:uid="{00000000-0005-0000-0000-0000EE160000}"/>
    <cellStyle name="Normal 5 2 10 3 2" xfId="14875" xr:uid="{608EC878-3750-4C72-88A6-CC3E09429C1D}"/>
    <cellStyle name="Normal 5 2 10 4" xfId="10657" xr:uid="{268D1A59-986D-4615-9399-BADEFF65BC2A}"/>
    <cellStyle name="Normal 5 2 11" xfId="2562" xr:uid="{00000000-0005-0000-0000-0000EF160000}"/>
    <cellStyle name="Normal 5 2 11 2" xfId="6846" xr:uid="{00000000-0005-0000-0000-0000F0160000}"/>
    <cellStyle name="Normal 5 2 11 2 2" xfId="15288" xr:uid="{FE48ADBE-E5C2-4685-A4C3-A0FD50436ADD}"/>
    <cellStyle name="Normal 5 2 11 3" xfId="11070" xr:uid="{08E1216D-27E2-456E-9281-D8FF9E1AABCF}"/>
    <cellStyle name="Normal 5 2 12" xfId="4781" xr:uid="{00000000-0005-0000-0000-0000F1160000}"/>
    <cellStyle name="Normal 5 2 12 2" xfId="13223" xr:uid="{473475D3-6389-4987-BB45-F17463845D55}"/>
    <cellStyle name="Normal 5 2 13" xfId="9005" xr:uid="{3F3D1A44-751A-4E96-A591-8297142295B9}"/>
    <cellStyle name="Normal 5 2 2" xfId="408" xr:uid="{00000000-0005-0000-0000-0000F2160000}"/>
    <cellStyle name="Normal 5 2 2 10" xfId="2563" xr:uid="{00000000-0005-0000-0000-0000F3160000}"/>
    <cellStyle name="Normal 5 2 2 10 2" xfId="6847" xr:uid="{00000000-0005-0000-0000-0000F4160000}"/>
    <cellStyle name="Normal 5 2 2 10 2 2" xfId="15289" xr:uid="{BF8B7B21-9866-4307-AEBA-5948898E00FA}"/>
    <cellStyle name="Normal 5 2 2 10 3" xfId="11071" xr:uid="{B096D2DB-E786-41C5-A438-AA80728EEE54}"/>
    <cellStyle name="Normal 5 2 2 11" xfId="4782" xr:uid="{00000000-0005-0000-0000-0000F5160000}"/>
    <cellStyle name="Normal 5 2 2 11 2" xfId="13224" xr:uid="{EE76F4CD-0E8C-471E-8E94-AF4EB4DA2D33}"/>
    <cellStyle name="Normal 5 2 2 12" xfId="9006" xr:uid="{C60734D3-3C73-4C36-B632-C743E1A14E43}"/>
    <cellStyle name="Normal 5 2 2 2" xfId="409" xr:uid="{00000000-0005-0000-0000-0000F6160000}"/>
    <cellStyle name="Normal 5 2 2 2 10" xfId="4783" xr:uid="{00000000-0005-0000-0000-0000F7160000}"/>
    <cellStyle name="Normal 5 2 2 2 10 2" xfId="13225" xr:uid="{87975A91-B56F-4A5D-828A-725878682975}"/>
    <cellStyle name="Normal 5 2 2 2 11" xfId="9007" xr:uid="{1AD3F2E6-FFC7-475B-AFDE-AF52EFFA49FA}"/>
    <cellStyle name="Normal 5 2 2 2 2" xfId="410" xr:uid="{00000000-0005-0000-0000-0000F8160000}"/>
    <cellStyle name="Normal 5 2 2 2 2 10" xfId="9008" xr:uid="{7B779D53-6F90-4FB5-8DED-8E465EF9FEC4}"/>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CBD90001-9010-4701-BA19-74F2F3870D2A}"/>
    <cellStyle name="Normal 5 2 2 2 2 2 2 2 2 3" xfId="11568" xr:uid="{D57E66CB-9B16-4D61-902B-CE1DE0AE1A55}"/>
    <cellStyle name="Normal 5 2 2 2 2 2 2 2 3" xfId="5199" xr:uid="{00000000-0005-0000-0000-0000FE160000}"/>
    <cellStyle name="Normal 5 2 2 2 2 2 2 2 3 2" xfId="13641" xr:uid="{861C5B62-45FF-4D77-BE67-05179B954E31}"/>
    <cellStyle name="Normal 5 2 2 2 2 2 2 2 4" xfId="9423" xr:uid="{111FEBBF-84B2-425B-BC2C-A9A0127BDD22}"/>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9975B16A-8618-4EE1-BEE9-58A371914E2F}"/>
    <cellStyle name="Normal 5 2 2 2 2 2 2 3 2 3" xfId="11981" xr:uid="{F8A3749F-710B-4A7A-8421-DA354F494E7E}"/>
    <cellStyle name="Normal 5 2 2 2 2 2 2 3 3" xfId="5612" xr:uid="{00000000-0005-0000-0000-000002170000}"/>
    <cellStyle name="Normal 5 2 2 2 2 2 2 3 3 2" xfId="14054" xr:uid="{44F019B5-F948-4395-8C1E-B89C693F8939}"/>
    <cellStyle name="Normal 5 2 2 2 2 2 2 3 4" xfId="9836" xr:uid="{0ED01B3B-5399-479B-BC24-8B7D0D7B6529}"/>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AEAE3F9E-A46E-46B0-9041-AEA9CB7392BB}"/>
    <cellStyle name="Normal 5 2 2 2 2 2 2 4 2 3" xfId="12394" xr:uid="{56D6CBFC-3978-4F32-B5BF-F8ACD4803038}"/>
    <cellStyle name="Normal 5 2 2 2 2 2 2 4 3" xfId="6025" xr:uid="{00000000-0005-0000-0000-000006170000}"/>
    <cellStyle name="Normal 5 2 2 2 2 2 2 4 3 2" xfId="14467" xr:uid="{D6EEB1EB-7DBE-4C4F-A5F8-AB124637ECBA}"/>
    <cellStyle name="Normal 5 2 2 2 2 2 2 4 4" xfId="10249" xr:uid="{D220A6C7-18AD-45EB-9B78-7F4AA12A4893}"/>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E1CEFAFE-8A46-42E5-A02B-30A02E1366F8}"/>
    <cellStyle name="Normal 5 2 2 2 2 2 2 5 2 3" xfId="12807" xr:uid="{C13D6574-FDD2-42DB-9842-BC77079B7FC6}"/>
    <cellStyle name="Normal 5 2 2 2 2 2 2 5 3" xfId="6438" xr:uid="{00000000-0005-0000-0000-00000A170000}"/>
    <cellStyle name="Normal 5 2 2 2 2 2 2 5 3 2" xfId="14880" xr:uid="{BCB4F234-7B69-4EFC-9F89-0817599F3D68}"/>
    <cellStyle name="Normal 5 2 2 2 2 2 2 5 4" xfId="10662" xr:uid="{A933CC41-024E-47D0-B7FA-4988E291D5C0}"/>
    <cellStyle name="Normal 5 2 2 2 2 2 2 6" xfId="2567" xr:uid="{00000000-0005-0000-0000-00000B170000}"/>
    <cellStyle name="Normal 5 2 2 2 2 2 2 6 2" xfId="6851" xr:uid="{00000000-0005-0000-0000-00000C170000}"/>
    <cellStyle name="Normal 5 2 2 2 2 2 2 6 2 2" xfId="15293" xr:uid="{9998A471-7C18-4058-8AB7-4239B6701EB6}"/>
    <cellStyle name="Normal 5 2 2 2 2 2 2 6 3" xfId="11075" xr:uid="{B6CE03B8-817C-43A6-9834-BBF3E9877B09}"/>
    <cellStyle name="Normal 5 2 2 2 2 2 2 7" xfId="4786" xr:uid="{00000000-0005-0000-0000-00000D170000}"/>
    <cellStyle name="Normal 5 2 2 2 2 2 2 7 2" xfId="13228" xr:uid="{E648381E-307E-4EBB-9C3A-F3ACC581436B}"/>
    <cellStyle name="Normal 5 2 2 2 2 2 2 8" xfId="9010" xr:uid="{49A5C799-5627-45F5-848F-CE46A13FA8D1}"/>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05C85076-5717-4C15-8C74-D4DCD4E7C2E0}"/>
    <cellStyle name="Normal 5 2 2 2 2 2 3 2 3" xfId="11567" xr:uid="{888E2EC8-BCD8-45AE-9CE2-FF9B3D34349F}"/>
    <cellStyle name="Normal 5 2 2 2 2 2 3 3" xfId="5198" xr:uid="{00000000-0005-0000-0000-000011170000}"/>
    <cellStyle name="Normal 5 2 2 2 2 2 3 3 2" xfId="13640" xr:uid="{5FC880F8-D2CB-4483-A46E-25C0D7AD8926}"/>
    <cellStyle name="Normal 5 2 2 2 2 2 3 4" xfId="9422" xr:uid="{C6921699-A165-4BA4-9C7F-CC343C54D857}"/>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83DADA21-43A2-4235-9DA2-09E2C8BE8A0C}"/>
    <cellStyle name="Normal 5 2 2 2 2 2 4 2 3" xfId="11980" xr:uid="{A6B90034-D7D4-4CD8-80B6-0541EC897C09}"/>
    <cellStyle name="Normal 5 2 2 2 2 2 4 3" xfId="5611" xr:uid="{00000000-0005-0000-0000-000015170000}"/>
    <cellStyle name="Normal 5 2 2 2 2 2 4 3 2" xfId="14053" xr:uid="{658878DE-0527-41D6-A1D7-8CA820578BB3}"/>
    <cellStyle name="Normal 5 2 2 2 2 2 4 4" xfId="9835" xr:uid="{729C7617-7616-4669-9008-B69BEC57413C}"/>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3A17F386-4D92-4F0C-8D08-C6D32AF50BFE}"/>
    <cellStyle name="Normal 5 2 2 2 2 2 5 2 3" xfId="12393" xr:uid="{F5BB75C0-66FD-49EB-BCDC-994E8062EEAA}"/>
    <cellStyle name="Normal 5 2 2 2 2 2 5 3" xfId="6024" xr:uid="{00000000-0005-0000-0000-000019170000}"/>
    <cellStyle name="Normal 5 2 2 2 2 2 5 3 2" xfId="14466" xr:uid="{3AA85ED8-5A1D-46C0-8F3C-57F58D82D877}"/>
    <cellStyle name="Normal 5 2 2 2 2 2 5 4" xfId="10248" xr:uid="{738A2487-C859-49D9-850E-BFFE7533A997}"/>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CAD11C30-6EF5-4659-B1D0-1C1FDFA15012}"/>
    <cellStyle name="Normal 5 2 2 2 2 2 6 2 3" xfId="12806" xr:uid="{C89B166C-D2F4-4A25-AF59-9936A7272B21}"/>
    <cellStyle name="Normal 5 2 2 2 2 2 6 3" xfId="6437" xr:uid="{00000000-0005-0000-0000-00001D170000}"/>
    <cellStyle name="Normal 5 2 2 2 2 2 6 3 2" xfId="14879" xr:uid="{5A1D33EA-AA15-411D-BB34-A4BADAED0254}"/>
    <cellStyle name="Normal 5 2 2 2 2 2 6 4" xfId="10661" xr:uid="{34444C72-C5E4-45EB-B318-0BC6559B3947}"/>
    <cellStyle name="Normal 5 2 2 2 2 2 7" xfId="2566" xr:uid="{00000000-0005-0000-0000-00001E170000}"/>
    <cellStyle name="Normal 5 2 2 2 2 2 7 2" xfId="6850" xr:uid="{00000000-0005-0000-0000-00001F170000}"/>
    <cellStyle name="Normal 5 2 2 2 2 2 7 2 2" xfId="15292" xr:uid="{AA15B809-682D-4710-9159-FFB593FA154F}"/>
    <cellStyle name="Normal 5 2 2 2 2 2 7 3" xfId="11074" xr:uid="{536B977D-265B-4A43-ADAC-20838BEB68AC}"/>
    <cellStyle name="Normal 5 2 2 2 2 2 8" xfId="4785" xr:uid="{00000000-0005-0000-0000-000020170000}"/>
    <cellStyle name="Normal 5 2 2 2 2 2 8 2" xfId="13227" xr:uid="{BDE7ED73-0813-4A03-BB92-B8D62A648608}"/>
    <cellStyle name="Normal 5 2 2 2 2 2 9" xfId="9009" xr:uid="{5F381DEC-BC0B-462F-9A60-59BB8DD4F0C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93295C09-2CC4-448D-97DF-70C7AADAECB7}"/>
    <cellStyle name="Normal 5 2 2 2 2 3 2 2 3" xfId="11569" xr:uid="{56C4A7C7-E29D-4C25-B201-84646E9F1913}"/>
    <cellStyle name="Normal 5 2 2 2 2 3 2 3" xfId="5200" xr:uid="{00000000-0005-0000-0000-000025170000}"/>
    <cellStyle name="Normal 5 2 2 2 2 3 2 3 2" xfId="13642" xr:uid="{AC27D801-E18F-4ABC-8BA8-CFBE8841B778}"/>
    <cellStyle name="Normal 5 2 2 2 2 3 2 4" xfId="9424" xr:uid="{1FDD3FA6-1DF9-471F-B5AD-1B0E2128A848}"/>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DF397E48-65F7-4026-9FD0-F6E92182446A}"/>
    <cellStyle name="Normal 5 2 2 2 2 3 3 2 3" xfId="11982" xr:uid="{461FAC98-89D1-4EAC-98A5-DAABFDD831ED}"/>
    <cellStyle name="Normal 5 2 2 2 2 3 3 3" xfId="5613" xr:uid="{00000000-0005-0000-0000-000029170000}"/>
    <cellStyle name="Normal 5 2 2 2 2 3 3 3 2" xfId="14055" xr:uid="{2130B7C0-E7F0-4BEF-A386-2ED26234ACB7}"/>
    <cellStyle name="Normal 5 2 2 2 2 3 3 4" xfId="9837" xr:uid="{AA0D83C4-750C-4BE9-A955-12E393503734}"/>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FB5238EF-B394-4B4F-A71D-34085403112B}"/>
    <cellStyle name="Normal 5 2 2 2 2 3 4 2 3" xfId="12395" xr:uid="{7A83E38F-4508-4375-9E34-4EE87F29240D}"/>
    <cellStyle name="Normal 5 2 2 2 2 3 4 3" xfId="6026" xr:uid="{00000000-0005-0000-0000-00002D170000}"/>
    <cellStyle name="Normal 5 2 2 2 2 3 4 3 2" xfId="14468" xr:uid="{75395641-BFC1-4377-A1FE-3460F06A4353}"/>
    <cellStyle name="Normal 5 2 2 2 2 3 4 4" xfId="10250" xr:uid="{0783229B-FE95-4C5E-9E0F-AC82FC465F62}"/>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1F14B2E1-4D6F-424B-8F53-F5BBE6597FDC}"/>
    <cellStyle name="Normal 5 2 2 2 2 3 5 2 3" xfId="12808" xr:uid="{755C9225-174B-4D13-8068-5564D981B763}"/>
    <cellStyle name="Normal 5 2 2 2 2 3 5 3" xfId="6439" xr:uid="{00000000-0005-0000-0000-000031170000}"/>
    <cellStyle name="Normal 5 2 2 2 2 3 5 3 2" xfId="14881" xr:uid="{1CFEEEFB-425B-4F45-83A6-255B1BD7110A}"/>
    <cellStyle name="Normal 5 2 2 2 2 3 5 4" xfId="10663" xr:uid="{8486425F-0546-4BE0-954E-E8B9E2225C4C}"/>
    <cellStyle name="Normal 5 2 2 2 2 3 6" xfId="2568" xr:uid="{00000000-0005-0000-0000-000032170000}"/>
    <cellStyle name="Normal 5 2 2 2 2 3 6 2" xfId="6852" xr:uid="{00000000-0005-0000-0000-000033170000}"/>
    <cellStyle name="Normal 5 2 2 2 2 3 6 2 2" xfId="15294" xr:uid="{F9C61FB3-696E-476A-ADD3-F0228ECE307F}"/>
    <cellStyle name="Normal 5 2 2 2 2 3 6 3" xfId="11076" xr:uid="{CEA25AEA-8EFC-4E2C-A320-1D28BC73ACCE}"/>
    <cellStyle name="Normal 5 2 2 2 2 3 7" xfId="4787" xr:uid="{00000000-0005-0000-0000-000034170000}"/>
    <cellStyle name="Normal 5 2 2 2 2 3 7 2" xfId="13229" xr:uid="{A083534C-E585-42A3-9C51-D0696B1B3F7A}"/>
    <cellStyle name="Normal 5 2 2 2 2 3 8" xfId="9011" xr:uid="{0884D5E5-B6AF-4D8D-A41C-17CF2A54B1D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1C8CB863-1209-4723-A3A9-9CC057B47692}"/>
    <cellStyle name="Normal 5 2 2 2 2 4 2 3" xfId="11566" xr:uid="{F9BCBEAD-0838-4D82-9A55-68EDD540663A}"/>
    <cellStyle name="Normal 5 2 2 2 2 4 3" xfId="5197" xr:uid="{00000000-0005-0000-0000-000038170000}"/>
    <cellStyle name="Normal 5 2 2 2 2 4 3 2" xfId="13639" xr:uid="{955E93D4-6944-4FF6-96A6-972381241C16}"/>
    <cellStyle name="Normal 5 2 2 2 2 4 4" xfId="9421" xr:uid="{D235F524-F799-4199-9E8A-2F2BAB56729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82E23F23-7167-4480-BD24-E07C97CC1FA6}"/>
    <cellStyle name="Normal 5 2 2 2 2 5 2 3" xfId="11979" xr:uid="{7477F29B-DC9A-45A9-87BF-E91C8DC7C146}"/>
    <cellStyle name="Normal 5 2 2 2 2 5 3" xfId="5610" xr:uid="{00000000-0005-0000-0000-00003C170000}"/>
    <cellStyle name="Normal 5 2 2 2 2 5 3 2" xfId="14052" xr:uid="{5A716F14-0BCB-4DE3-A1F6-D7132358036B}"/>
    <cellStyle name="Normal 5 2 2 2 2 5 4" xfId="9834" xr:uid="{0B38B5E4-A269-4B42-9D4B-AB946E2A2A6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0FC9AF58-F561-4B04-B6F8-F53BB2CE1775}"/>
    <cellStyle name="Normal 5 2 2 2 2 6 2 3" xfId="12392" xr:uid="{C381631E-0FFC-44D3-8202-F89E7C4633A6}"/>
    <cellStyle name="Normal 5 2 2 2 2 6 3" xfId="6023" xr:uid="{00000000-0005-0000-0000-000040170000}"/>
    <cellStyle name="Normal 5 2 2 2 2 6 3 2" xfId="14465" xr:uid="{A9ABB0F3-D414-4637-B44C-31C5733A5B4E}"/>
    <cellStyle name="Normal 5 2 2 2 2 6 4" xfId="10247" xr:uid="{5B02696C-ECAA-4EBE-BBA0-90E9B9405D26}"/>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6C4A1EED-5D75-44D3-86C0-AC1FF50C6F76}"/>
    <cellStyle name="Normal 5 2 2 2 2 7 2 3" xfId="12805" xr:uid="{0CE10B26-E72B-4587-A594-764E86E32E06}"/>
    <cellStyle name="Normal 5 2 2 2 2 7 3" xfId="6436" xr:uid="{00000000-0005-0000-0000-000044170000}"/>
    <cellStyle name="Normal 5 2 2 2 2 7 3 2" xfId="14878" xr:uid="{09051EF9-03DF-46D6-B920-3A20ED5DE2DF}"/>
    <cellStyle name="Normal 5 2 2 2 2 7 4" xfId="10660" xr:uid="{8208FB5F-B77B-4461-B78D-1192E9918B30}"/>
    <cellStyle name="Normal 5 2 2 2 2 8" xfId="2565" xr:uid="{00000000-0005-0000-0000-000045170000}"/>
    <cellStyle name="Normal 5 2 2 2 2 8 2" xfId="6849" xr:uid="{00000000-0005-0000-0000-000046170000}"/>
    <cellStyle name="Normal 5 2 2 2 2 8 2 2" xfId="15291" xr:uid="{032CC45B-41B3-481D-AC94-87D2CDC6FF61}"/>
    <cellStyle name="Normal 5 2 2 2 2 8 3" xfId="11073" xr:uid="{B423B960-730F-42F8-BC7D-240212C52921}"/>
    <cellStyle name="Normal 5 2 2 2 2 9" xfId="4784" xr:uid="{00000000-0005-0000-0000-000047170000}"/>
    <cellStyle name="Normal 5 2 2 2 2 9 2" xfId="13226" xr:uid="{DEB71EE1-7178-47CC-8B12-099D3384E22D}"/>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1FACC52F-D0C1-4ADC-A674-E2738B7919A7}"/>
    <cellStyle name="Normal 5 2 2 2 3 2 2 2 3" xfId="11571" xr:uid="{6C9035FB-6C19-49BE-B7A4-A57B546E1E2C}"/>
    <cellStyle name="Normal 5 2 2 2 3 2 2 3" xfId="5202" xr:uid="{00000000-0005-0000-0000-00004D170000}"/>
    <cellStyle name="Normal 5 2 2 2 3 2 2 3 2" xfId="13644" xr:uid="{1CC34DF0-FEC2-444A-BDF9-C9114C66EB39}"/>
    <cellStyle name="Normal 5 2 2 2 3 2 2 4" xfId="9426" xr:uid="{2272BDC9-4042-4BCD-B988-9A8FDC4147E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B21F34B3-FA27-4B52-AB05-68E045C5BCB4}"/>
    <cellStyle name="Normal 5 2 2 2 3 2 3 2 3" xfId="11984" xr:uid="{1A21BF75-EB98-4D84-9492-C3136B0A6D5B}"/>
    <cellStyle name="Normal 5 2 2 2 3 2 3 3" xfId="5615" xr:uid="{00000000-0005-0000-0000-000051170000}"/>
    <cellStyle name="Normal 5 2 2 2 3 2 3 3 2" xfId="14057" xr:uid="{2CC7C364-B022-42AE-BCAA-18AAB0F191A6}"/>
    <cellStyle name="Normal 5 2 2 2 3 2 3 4" xfId="9839" xr:uid="{5BEA95BC-5E89-4B9B-BE01-E85F3970BC62}"/>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B22C362A-4125-44AD-BC29-8A3417FD50A4}"/>
    <cellStyle name="Normal 5 2 2 2 3 2 4 2 3" xfId="12397" xr:uid="{0FCD0F55-830D-4ECD-8B11-62F4813A95F2}"/>
    <cellStyle name="Normal 5 2 2 2 3 2 4 3" xfId="6028" xr:uid="{00000000-0005-0000-0000-000055170000}"/>
    <cellStyle name="Normal 5 2 2 2 3 2 4 3 2" xfId="14470" xr:uid="{7EE6B326-4803-44EB-82B9-9DB9AD3DF4ED}"/>
    <cellStyle name="Normal 5 2 2 2 3 2 4 4" xfId="10252" xr:uid="{BE908510-5436-46F7-993D-F6BF9F4FA5A7}"/>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5115FEB-CD66-40C5-9AB0-C29F4F52D5AA}"/>
    <cellStyle name="Normal 5 2 2 2 3 2 5 2 3" xfId="12810" xr:uid="{0AFDF480-4D19-4D8F-BE6A-40910BD38747}"/>
    <cellStyle name="Normal 5 2 2 2 3 2 5 3" xfId="6441" xr:uid="{00000000-0005-0000-0000-000059170000}"/>
    <cellStyle name="Normal 5 2 2 2 3 2 5 3 2" xfId="14883" xr:uid="{9EEEF204-E721-4AAE-B150-AB31F6C0E8FC}"/>
    <cellStyle name="Normal 5 2 2 2 3 2 5 4" xfId="10665" xr:uid="{0C980C6A-2B93-44DD-8449-5B13981F080F}"/>
    <cellStyle name="Normal 5 2 2 2 3 2 6" xfId="2570" xr:uid="{00000000-0005-0000-0000-00005A170000}"/>
    <cellStyle name="Normal 5 2 2 2 3 2 6 2" xfId="6854" xr:uid="{00000000-0005-0000-0000-00005B170000}"/>
    <cellStyle name="Normal 5 2 2 2 3 2 6 2 2" xfId="15296" xr:uid="{DBDD773F-9839-4B6F-8F6C-8FB0CD82BA96}"/>
    <cellStyle name="Normal 5 2 2 2 3 2 6 3" xfId="11078" xr:uid="{9049E412-A6F9-49E5-A07C-43F0F8BB906B}"/>
    <cellStyle name="Normal 5 2 2 2 3 2 7" xfId="4789" xr:uid="{00000000-0005-0000-0000-00005C170000}"/>
    <cellStyle name="Normal 5 2 2 2 3 2 7 2" xfId="13231" xr:uid="{BA0134F2-3A5A-4910-95F9-50FE85C36E51}"/>
    <cellStyle name="Normal 5 2 2 2 3 2 8" xfId="9013" xr:uid="{40E5D8EA-C66D-471B-9539-BD03F98D27B2}"/>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0071D014-4A4E-410C-8C9F-C2FADF3B87B2}"/>
    <cellStyle name="Normal 5 2 2 2 3 3 2 3" xfId="11570" xr:uid="{CE4BD361-0A04-4FF9-A555-6E3E9EA6D1CF}"/>
    <cellStyle name="Normal 5 2 2 2 3 3 3" xfId="5201" xr:uid="{00000000-0005-0000-0000-000060170000}"/>
    <cellStyle name="Normal 5 2 2 2 3 3 3 2" xfId="13643" xr:uid="{2CFA4BD7-A234-434D-89A0-818B35F2D9B9}"/>
    <cellStyle name="Normal 5 2 2 2 3 3 4" xfId="9425" xr:uid="{8FE9E399-5A89-4987-9D4F-5FA11B22BAF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97B7D622-9895-4E48-A6E6-89CB3BD83651}"/>
    <cellStyle name="Normal 5 2 2 2 3 4 2 3" xfId="11983" xr:uid="{E9333612-7C29-47D7-98FC-40FF8B3229C4}"/>
    <cellStyle name="Normal 5 2 2 2 3 4 3" xfId="5614" xr:uid="{00000000-0005-0000-0000-000064170000}"/>
    <cellStyle name="Normal 5 2 2 2 3 4 3 2" xfId="14056" xr:uid="{0FFE8CF1-05DF-4CD6-868A-ADE856532981}"/>
    <cellStyle name="Normal 5 2 2 2 3 4 4" xfId="9838" xr:uid="{AA12B562-46C3-4B93-807C-A599C93B5AC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9CC710B8-DD74-4AEF-8057-979C6F94A3FB}"/>
    <cellStyle name="Normal 5 2 2 2 3 5 2 3" xfId="12396" xr:uid="{624181FB-6603-429C-BC2F-C8D954591806}"/>
    <cellStyle name="Normal 5 2 2 2 3 5 3" xfId="6027" xr:uid="{00000000-0005-0000-0000-000068170000}"/>
    <cellStyle name="Normal 5 2 2 2 3 5 3 2" xfId="14469" xr:uid="{3A37D435-08B8-49C9-B753-12668511925F}"/>
    <cellStyle name="Normal 5 2 2 2 3 5 4" xfId="10251" xr:uid="{64C60637-D641-4324-B637-CDA09D1D42A6}"/>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C9019002-EB68-486C-9603-5140E0BD3BBC}"/>
    <cellStyle name="Normal 5 2 2 2 3 6 2 3" xfId="12809" xr:uid="{265B78D1-0252-46AB-832E-FF221FBFBEC5}"/>
    <cellStyle name="Normal 5 2 2 2 3 6 3" xfId="6440" xr:uid="{00000000-0005-0000-0000-00006C170000}"/>
    <cellStyle name="Normal 5 2 2 2 3 6 3 2" xfId="14882" xr:uid="{4F39E5F0-7FCC-4D5D-9516-51181A23254C}"/>
    <cellStyle name="Normal 5 2 2 2 3 6 4" xfId="10664" xr:uid="{3142D64A-49C7-458E-B460-BAE8849EB9F5}"/>
    <cellStyle name="Normal 5 2 2 2 3 7" xfId="2569" xr:uid="{00000000-0005-0000-0000-00006D170000}"/>
    <cellStyle name="Normal 5 2 2 2 3 7 2" xfId="6853" xr:uid="{00000000-0005-0000-0000-00006E170000}"/>
    <cellStyle name="Normal 5 2 2 2 3 7 2 2" xfId="15295" xr:uid="{805E510B-3C68-482C-B691-8E9CE099B250}"/>
    <cellStyle name="Normal 5 2 2 2 3 7 3" xfId="11077" xr:uid="{7E9C05DC-B930-43C7-9323-86C291244E3C}"/>
    <cellStyle name="Normal 5 2 2 2 3 8" xfId="4788" xr:uid="{00000000-0005-0000-0000-00006F170000}"/>
    <cellStyle name="Normal 5 2 2 2 3 8 2" xfId="13230" xr:uid="{4755CB9F-4D5D-48BF-AF96-CA246EF522E1}"/>
    <cellStyle name="Normal 5 2 2 2 3 9" xfId="9012" xr:uid="{CF293BC8-31E6-418B-B6CC-63D1550454FF}"/>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202E4E58-2010-4EBB-B7EE-191C2CDBB198}"/>
    <cellStyle name="Normal 5 2 2 2 4 2 2 3" xfId="11572" xr:uid="{892F82D7-9F01-4F32-8F5E-5C8D356839B1}"/>
    <cellStyle name="Normal 5 2 2 2 4 2 3" xfId="5203" xr:uid="{00000000-0005-0000-0000-000074170000}"/>
    <cellStyle name="Normal 5 2 2 2 4 2 3 2" xfId="13645" xr:uid="{F776D05C-85D3-4CEE-94C0-9F642C1BCF80}"/>
    <cellStyle name="Normal 5 2 2 2 4 2 4" xfId="9427" xr:uid="{FE701B08-E04D-4AB6-A136-AC25C0D55FD7}"/>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D830A61E-8220-4791-BCA0-008B14A7A150}"/>
    <cellStyle name="Normal 5 2 2 2 4 3 2 3" xfId="11985" xr:uid="{C77CC507-AB22-4EE8-A776-767F1833F50D}"/>
    <cellStyle name="Normal 5 2 2 2 4 3 3" xfId="5616" xr:uid="{00000000-0005-0000-0000-000078170000}"/>
    <cellStyle name="Normal 5 2 2 2 4 3 3 2" xfId="14058" xr:uid="{CB3B4A81-2846-4E79-BADE-DBC82466D110}"/>
    <cellStyle name="Normal 5 2 2 2 4 3 4" xfId="9840" xr:uid="{9C29FF10-F126-462F-AC73-42C411B49AC3}"/>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14528930-ECB6-43B3-9784-D94FEF229FD1}"/>
    <cellStyle name="Normal 5 2 2 2 4 4 2 3" xfId="12398" xr:uid="{2FACE16A-EF00-496F-8449-EF29A5078476}"/>
    <cellStyle name="Normal 5 2 2 2 4 4 3" xfId="6029" xr:uid="{00000000-0005-0000-0000-00007C170000}"/>
    <cellStyle name="Normal 5 2 2 2 4 4 3 2" xfId="14471" xr:uid="{5F7DE305-BB83-4F8F-8AE0-2E8CECEA5CD6}"/>
    <cellStyle name="Normal 5 2 2 2 4 4 4" xfId="10253" xr:uid="{E01FAF57-AA82-4C3C-AD8A-7F6851AB9EBE}"/>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3BB85FEC-36CA-414A-A04D-30FB8EC5F27B}"/>
    <cellStyle name="Normal 5 2 2 2 4 5 2 3" xfId="12811" xr:uid="{60A8ECA9-B6A8-4937-96FA-C35041C38E66}"/>
    <cellStyle name="Normal 5 2 2 2 4 5 3" xfId="6442" xr:uid="{00000000-0005-0000-0000-000080170000}"/>
    <cellStyle name="Normal 5 2 2 2 4 5 3 2" xfId="14884" xr:uid="{7D3BC19E-B7A0-4CD6-8D9A-89EA4C3E82CB}"/>
    <cellStyle name="Normal 5 2 2 2 4 5 4" xfId="10666" xr:uid="{27F31EC0-F0EE-44E8-8067-744D6F95D60E}"/>
    <cellStyle name="Normal 5 2 2 2 4 6" xfId="2571" xr:uid="{00000000-0005-0000-0000-000081170000}"/>
    <cellStyle name="Normal 5 2 2 2 4 6 2" xfId="6855" xr:uid="{00000000-0005-0000-0000-000082170000}"/>
    <cellStyle name="Normal 5 2 2 2 4 6 2 2" xfId="15297" xr:uid="{DAC5C1F8-1437-41A0-A8D5-46CFBE3E5BDD}"/>
    <cellStyle name="Normal 5 2 2 2 4 6 3" xfId="11079" xr:uid="{4F8FE642-530A-4EA6-9DDC-E769AD69311E}"/>
    <cellStyle name="Normal 5 2 2 2 4 7" xfId="4790" xr:uid="{00000000-0005-0000-0000-000083170000}"/>
    <cellStyle name="Normal 5 2 2 2 4 7 2" xfId="13232" xr:uid="{185B844C-1D85-46FA-9517-72AC40EF30D9}"/>
    <cellStyle name="Normal 5 2 2 2 4 8" xfId="9014" xr:uid="{AA4A14DA-FD8A-4A77-931D-687123374501}"/>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15FA149D-6D40-47A6-828A-D41CF4C75DCC}"/>
    <cellStyle name="Normal 5 2 2 2 5 2 3" xfId="11565" xr:uid="{137BFCBA-926D-4F37-85D2-4C624693080E}"/>
    <cellStyle name="Normal 5 2 2 2 5 3" xfId="5196" xr:uid="{00000000-0005-0000-0000-000087170000}"/>
    <cellStyle name="Normal 5 2 2 2 5 3 2" xfId="13638" xr:uid="{88B6C8D5-3140-4B02-BA3F-C9D70D9AC92D}"/>
    <cellStyle name="Normal 5 2 2 2 5 4" xfId="9420" xr:uid="{2B9AEDDF-C1E9-4CBE-BCCC-24666732A7F4}"/>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CB0CE30E-66A5-459E-AE9F-C2A69C75641D}"/>
    <cellStyle name="Normal 5 2 2 2 6 2 3" xfId="11978" xr:uid="{5A3F4B4A-08EB-48DA-A6AC-D54B30559FCC}"/>
    <cellStyle name="Normal 5 2 2 2 6 3" xfId="5609" xr:uid="{00000000-0005-0000-0000-00008B170000}"/>
    <cellStyle name="Normal 5 2 2 2 6 3 2" xfId="14051" xr:uid="{7BD11B97-DE26-4951-9464-0CC24C4AAECB}"/>
    <cellStyle name="Normal 5 2 2 2 6 4" xfId="9833" xr:uid="{34D9B4DC-4D06-48C0-9806-F3373BEF48E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B063686-3AE4-4E2C-BC50-A4E6097D19C2}"/>
    <cellStyle name="Normal 5 2 2 2 7 2 3" xfId="12391" xr:uid="{AF618AA9-E3C3-4EDF-93E3-3043388A5E7D}"/>
    <cellStyle name="Normal 5 2 2 2 7 3" xfId="6022" xr:uid="{00000000-0005-0000-0000-00008F170000}"/>
    <cellStyle name="Normal 5 2 2 2 7 3 2" xfId="14464" xr:uid="{47979983-9294-4EF4-B633-A068758C097C}"/>
    <cellStyle name="Normal 5 2 2 2 7 4" xfId="10246" xr:uid="{60F83636-33AB-4D09-BE4F-C4FB4CC1C94D}"/>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0A2258AA-12E0-4489-A846-22A6EDA4B2E7}"/>
    <cellStyle name="Normal 5 2 2 2 8 2 3" xfId="12804" xr:uid="{41233081-8DA6-4924-ABA0-6C51DEEFB7CE}"/>
    <cellStyle name="Normal 5 2 2 2 8 3" xfId="6435" xr:uid="{00000000-0005-0000-0000-000093170000}"/>
    <cellStyle name="Normal 5 2 2 2 8 3 2" xfId="14877" xr:uid="{2FEC4BD0-03B2-476D-8865-3C195903930A}"/>
    <cellStyle name="Normal 5 2 2 2 8 4" xfId="10659" xr:uid="{BFAFAFE7-8412-42E8-BFC2-A50F2FE8E3C0}"/>
    <cellStyle name="Normal 5 2 2 2 9" xfId="2564" xr:uid="{00000000-0005-0000-0000-000094170000}"/>
    <cellStyle name="Normal 5 2 2 2 9 2" xfId="6848" xr:uid="{00000000-0005-0000-0000-000095170000}"/>
    <cellStyle name="Normal 5 2 2 2 9 2 2" xfId="15290" xr:uid="{81529965-5609-4223-94DE-8E2C420E856E}"/>
    <cellStyle name="Normal 5 2 2 2 9 3" xfId="11072" xr:uid="{74211348-7182-49B3-8B87-D9BD6F076D18}"/>
    <cellStyle name="Normal 5 2 2 3" xfId="417" xr:uid="{00000000-0005-0000-0000-000096170000}"/>
    <cellStyle name="Normal 5 2 2 3 10" xfId="9015" xr:uid="{F3283C43-9309-450D-BDB7-B4387D762584}"/>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D4E423CD-F2BE-499A-8823-08290E18AB63}"/>
    <cellStyle name="Normal 5 2 2 3 2 2 2 2 3" xfId="11575" xr:uid="{D3146EC9-9862-49EA-A1F5-BE9956E34BD2}"/>
    <cellStyle name="Normal 5 2 2 3 2 2 2 3" xfId="5206" xr:uid="{00000000-0005-0000-0000-00009C170000}"/>
    <cellStyle name="Normal 5 2 2 3 2 2 2 3 2" xfId="13648" xr:uid="{5CE6FE0E-6243-4754-8D00-A824E7509BBB}"/>
    <cellStyle name="Normal 5 2 2 3 2 2 2 4" xfId="9430" xr:uid="{1C7CF583-D2C0-4151-9EC2-F5ACA531F31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D732D6FC-3909-4EEB-8C4F-2B7FC2615B86}"/>
    <cellStyle name="Normal 5 2 2 3 2 2 3 2 3" xfId="11988" xr:uid="{DC6E151E-76CC-487A-AF26-52FD030FC348}"/>
    <cellStyle name="Normal 5 2 2 3 2 2 3 3" xfId="5619" xr:uid="{00000000-0005-0000-0000-0000A0170000}"/>
    <cellStyle name="Normal 5 2 2 3 2 2 3 3 2" xfId="14061" xr:uid="{4882E41D-B85E-41C6-A333-D20C4B0673F3}"/>
    <cellStyle name="Normal 5 2 2 3 2 2 3 4" xfId="9843" xr:uid="{A023CE26-18C8-496A-A53E-C5DDD190C5B1}"/>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8B7E5AC9-275D-4653-9099-9FC01F189F7C}"/>
    <cellStyle name="Normal 5 2 2 3 2 2 4 2 3" xfId="12401" xr:uid="{FC14E95E-AE25-40A4-AA24-4FCEBCE6F371}"/>
    <cellStyle name="Normal 5 2 2 3 2 2 4 3" xfId="6032" xr:uid="{00000000-0005-0000-0000-0000A4170000}"/>
    <cellStyle name="Normal 5 2 2 3 2 2 4 3 2" xfId="14474" xr:uid="{A9D0A03D-3E5D-42ED-A081-333CEF15FB62}"/>
    <cellStyle name="Normal 5 2 2 3 2 2 4 4" xfId="10256" xr:uid="{CB9406C3-3936-463C-BE2F-3D68BFED29D1}"/>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DBA5BCBE-F0D2-4F5F-AF50-1827C5040A55}"/>
    <cellStyle name="Normal 5 2 2 3 2 2 5 2 3" xfId="12814" xr:uid="{1E05155A-EA39-42EE-844D-2B6100C54A17}"/>
    <cellStyle name="Normal 5 2 2 3 2 2 5 3" xfId="6445" xr:uid="{00000000-0005-0000-0000-0000A8170000}"/>
    <cellStyle name="Normal 5 2 2 3 2 2 5 3 2" xfId="14887" xr:uid="{B51131F7-7DD8-4CAD-AAE2-28DA70204190}"/>
    <cellStyle name="Normal 5 2 2 3 2 2 5 4" xfId="10669" xr:uid="{686783D3-2EA3-4DDB-9947-381F5F6958D3}"/>
    <cellStyle name="Normal 5 2 2 3 2 2 6" xfId="2574" xr:uid="{00000000-0005-0000-0000-0000A9170000}"/>
    <cellStyle name="Normal 5 2 2 3 2 2 6 2" xfId="6858" xr:uid="{00000000-0005-0000-0000-0000AA170000}"/>
    <cellStyle name="Normal 5 2 2 3 2 2 6 2 2" xfId="15300" xr:uid="{2FCCF178-602A-473F-9797-A51C4401B256}"/>
    <cellStyle name="Normal 5 2 2 3 2 2 6 3" xfId="11082" xr:uid="{B6658BB7-50B1-432B-863C-64295E4B6CF1}"/>
    <cellStyle name="Normal 5 2 2 3 2 2 7" xfId="4793" xr:uid="{00000000-0005-0000-0000-0000AB170000}"/>
    <cellStyle name="Normal 5 2 2 3 2 2 7 2" xfId="13235" xr:uid="{AAD65CA1-057A-435B-863B-FD292AD48968}"/>
    <cellStyle name="Normal 5 2 2 3 2 2 8" xfId="9017" xr:uid="{60C5744F-CEBB-4FC5-A5A5-5499D3DF668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34CBFE2E-C857-4DE3-A006-5FD65BB40D94}"/>
    <cellStyle name="Normal 5 2 2 3 2 3 2 3" xfId="11574" xr:uid="{436E169E-D6AB-4272-B1A1-9C64EF57B086}"/>
    <cellStyle name="Normal 5 2 2 3 2 3 3" xfId="5205" xr:uid="{00000000-0005-0000-0000-0000AF170000}"/>
    <cellStyle name="Normal 5 2 2 3 2 3 3 2" xfId="13647" xr:uid="{5A482835-0526-4BD0-8C39-BC7B2A657582}"/>
    <cellStyle name="Normal 5 2 2 3 2 3 4" xfId="9429" xr:uid="{304D1750-A7D2-4E3B-87A0-B522580EC497}"/>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BD927516-5E08-4281-9093-F0665BD3D03C}"/>
    <cellStyle name="Normal 5 2 2 3 2 4 2 3" xfId="11987" xr:uid="{A230DF8F-0F76-4568-B320-D7D5863DA49D}"/>
    <cellStyle name="Normal 5 2 2 3 2 4 3" xfId="5618" xr:uid="{00000000-0005-0000-0000-0000B3170000}"/>
    <cellStyle name="Normal 5 2 2 3 2 4 3 2" xfId="14060" xr:uid="{5A8FE96A-A463-45CA-B693-B48B10305258}"/>
    <cellStyle name="Normal 5 2 2 3 2 4 4" xfId="9842" xr:uid="{22ABB0B6-F648-4B53-93E1-621C3788880E}"/>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73C3FA64-BC6E-4098-AAB5-EBB9AF353645}"/>
    <cellStyle name="Normal 5 2 2 3 2 5 2 3" xfId="12400" xr:uid="{7ACE456A-4B55-4642-8956-04B52A2ECD64}"/>
    <cellStyle name="Normal 5 2 2 3 2 5 3" xfId="6031" xr:uid="{00000000-0005-0000-0000-0000B7170000}"/>
    <cellStyle name="Normal 5 2 2 3 2 5 3 2" xfId="14473" xr:uid="{51B5063B-1730-4D0F-ACE5-FD276A3C44C9}"/>
    <cellStyle name="Normal 5 2 2 3 2 5 4" xfId="10255" xr:uid="{EFEF6830-D87C-4BF9-A9D5-C928428151E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F1B22011-5BE0-46FF-A97F-79FBE71F5F03}"/>
    <cellStyle name="Normal 5 2 2 3 2 6 2 3" xfId="12813" xr:uid="{3D0891B5-E0AE-4717-9670-030F79F81151}"/>
    <cellStyle name="Normal 5 2 2 3 2 6 3" xfId="6444" xr:uid="{00000000-0005-0000-0000-0000BB170000}"/>
    <cellStyle name="Normal 5 2 2 3 2 6 3 2" xfId="14886" xr:uid="{D38AD814-E6DC-46AC-8E23-9C9C8B81904B}"/>
    <cellStyle name="Normal 5 2 2 3 2 6 4" xfId="10668" xr:uid="{CB81D846-393F-4FC3-800B-5D6CE3BD54E5}"/>
    <cellStyle name="Normal 5 2 2 3 2 7" xfId="2573" xr:uid="{00000000-0005-0000-0000-0000BC170000}"/>
    <cellStyle name="Normal 5 2 2 3 2 7 2" xfId="6857" xr:uid="{00000000-0005-0000-0000-0000BD170000}"/>
    <cellStyle name="Normal 5 2 2 3 2 7 2 2" xfId="15299" xr:uid="{4687CA4E-DFA2-492B-9477-5EC5864A9EF2}"/>
    <cellStyle name="Normal 5 2 2 3 2 7 3" xfId="11081" xr:uid="{82723B50-1E3A-4C03-A4AF-DFB05B022A24}"/>
    <cellStyle name="Normal 5 2 2 3 2 8" xfId="4792" xr:uid="{00000000-0005-0000-0000-0000BE170000}"/>
    <cellStyle name="Normal 5 2 2 3 2 8 2" xfId="13234" xr:uid="{515917EA-FBF7-42F8-898A-3B3392A43E2A}"/>
    <cellStyle name="Normal 5 2 2 3 2 9" xfId="9016" xr:uid="{399811CE-8B70-463C-A8C2-73236673DAD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A70C69E8-4FC3-44FF-9243-1056D3362505}"/>
    <cellStyle name="Normal 5 2 2 3 3 2 2 3" xfId="11576" xr:uid="{1FEFB883-8233-45B9-91FB-2D51FBD8577C}"/>
    <cellStyle name="Normal 5 2 2 3 3 2 3" xfId="5207" xr:uid="{00000000-0005-0000-0000-0000C3170000}"/>
    <cellStyle name="Normal 5 2 2 3 3 2 3 2" xfId="13649" xr:uid="{C739A067-1A43-4AB2-AF36-C9BD95A29645}"/>
    <cellStyle name="Normal 5 2 2 3 3 2 4" xfId="9431" xr:uid="{C315EA05-71BE-4FB4-97A4-8EB1B3D862B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554FEF6D-5625-4908-BA56-3103FAF47FE2}"/>
    <cellStyle name="Normal 5 2 2 3 3 3 2 3" xfId="11989" xr:uid="{C0367231-8414-48F4-96C8-ABD8C2112CEB}"/>
    <cellStyle name="Normal 5 2 2 3 3 3 3" xfId="5620" xr:uid="{00000000-0005-0000-0000-0000C7170000}"/>
    <cellStyle name="Normal 5 2 2 3 3 3 3 2" xfId="14062" xr:uid="{268BF8F8-4DCA-4A95-BC1A-9558E15FB066}"/>
    <cellStyle name="Normal 5 2 2 3 3 3 4" xfId="9844" xr:uid="{8000E154-D352-4AAB-B3F0-30BA87B48D54}"/>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6B56B58C-2CA6-4CD8-8613-BE47C5C340A2}"/>
    <cellStyle name="Normal 5 2 2 3 3 4 2 3" xfId="12402" xr:uid="{633967A9-8BCB-4062-9742-B43276222041}"/>
    <cellStyle name="Normal 5 2 2 3 3 4 3" xfId="6033" xr:uid="{00000000-0005-0000-0000-0000CB170000}"/>
    <cellStyle name="Normal 5 2 2 3 3 4 3 2" xfId="14475" xr:uid="{166F5750-5FBB-451A-B0FE-5410A6D9D724}"/>
    <cellStyle name="Normal 5 2 2 3 3 4 4" xfId="10257" xr:uid="{2A3CAF9B-FE83-478A-B1F1-DEEC08E5742F}"/>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8E78F1AC-465D-466F-BB30-926E7F10EAEA}"/>
    <cellStyle name="Normal 5 2 2 3 3 5 2 3" xfId="12815" xr:uid="{73E805CF-E3E4-42D1-8017-FF16D046DF70}"/>
    <cellStyle name="Normal 5 2 2 3 3 5 3" xfId="6446" xr:uid="{00000000-0005-0000-0000-0000CF170000}"/>
    <cellStyle name="Normal 5 2 2 3 3 5 3 2" xfId="14888" xr:uid="{19180FED-4D4E-4FB0-9997-EAF37945C752}"/>
    <cellStyle name="Normal 5 2 2 3 3 5 4" xfId="10670" xr:uid="{3EA159B0-2FF3-4E09-8B96-93972AC9086A}"/>
    <cellStyle name="Normal 5 2 2 3 3 6" xfId="2575" xr:uid="{00000000-0005-0000-0000-0000D0170000}"/>
    <cellStyle name="Normal 5 2 2 3 3 6 2" xfId="6859" xr:uid="{00000000-0005-0000-0000-0000D1170000}"/>
    <cellStyle name="Normal 5 2 2 3 3 6 2 2" xfId="15301" xr:uid="{A76F5D60-CD80-4ACB-9236-1AD4E511A221}"/>
    <cellStyle name="Normal 5 2 2 3 3 6 3" xfId="11083" xr:uid="{0382DA61-EFD6-488C-A984-5E67909022E5}"/>
    <cellStyle name="Normal 5 2 2 3 3 7" xfId="4794" xr:uid="{00000000-0005-0000-0000-0000D2170000}"/>
    <cellStyle name="Normal 5 2 2 3 3 7 2" xfId="13236" xr:uid="{8F1D4717-2057-4042-87C1-D20B2DF49579}"/>
    <cellStyle name="Normal 5 2 2 3 3 8" xfId="9018" xr:uid="{A164F8B9-382F-40B8-83A4-9CBED2927FC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365C03DD-9A67-4097-92CA-D2D7536E7BC3}"/>
    <cellStyle name="Normal 5 2 2 3 4 2 3" xfId="11573" xr:uid="{5F823132-495E-4A75-AF46-E8B666DB02A2}"/>
    <cellStyle name="Normal 5 2 2 3 4 3" xfId="5204" xr:uid="{00000000-0005-0000-0000-0000D6170000}"/>
    <cellStyle name="Normal 5 2 2 3 4 3 2" xfId="13646" xr:uid="{B856DF1D-2FEB-47AE-BF3A-DA0F2FC8CEE1}"/>
    <cellStyle name="Normal 5 2 2 3 4 4" xfId="9428" xr:uid="{BE80B403-7E2B-42E3-8C7E-F9CD9B6F8B55}"/>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915CC9EC-7818-46F4-AC77-365A1A12D821}"/>
    <cellStyle name="Normal 5 2 2 3 5 2 3" xfId="11986" xr:uid="{DDCE3D65-C57A-4778-9F79-106FE884B199}"/>
    <cellStyle name="Normal 5 2 2 3 5 3" xfId="5617" xr:uid="{00000000-0005-0000-0000-0000DA170000}"/>
    <cellStyle name="Normal 5 2 2 3 5 3 2" xfId="14059" xr:uid="{80418D85-F05C-4DC0-B45D-3903823F331E}"/>
    <cellStyle name="Normal 5 2 2 3 5 4" xfId="9841" xr:uid="{6B1AD0EA-30B2-44E9-B019-F368A3E8C23B}"/>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67052504-013F-4624-B95D-28E1080B8482}"/>
    <cellStyle name="Normal 5 2 2 3 6 2 3" xfId="12399" xr:uid="{33BB7652-8BAF-4D27-9064-85AE997CF99E}"/>
    <cellStyle name="Normal 5 2 2 3 6 3" xfId="6030" xr:uid="{00000000-0005-0000-0000-0000DE170000}"/>
    <cellStyle name="Normal 5 2 2 3 6 3 2" xfId="14472" xr:uid="{3D9782F1-BE27-4D7D-B5A6-DE0E3B8111AD}"/>
    <cellStyle name="Normal 5 2 2 3 6 4" xfId="10254" xr:uid="{FF12BC3A-9863-4517-BEBF-0F97DE7DB18B}"/>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56BD861E-D6F0-4488-8FE7-076868179B4F}"/>
    <cellStyle name="Normal 5 2 2 3 7 2 3" xfId="12812" xr:uid="{12468E10-B455-403E-8B32-65465A487A09}"/>
    <cellStyle name="Normal 5 2 2 3 7 3" xfId="6443" xr:uid="{00000000-0005-0000-0000-0000E2170000}"/>
    <cellStyle name="Normal 5 2 2 3 7 3 2" xfId="14885" xr:uid="{F5AF5EB1-CA24-41DB-B955-837A61B40B81}"/>
    <cellStyle name="Normal 5 2 2 3 7 4" xfId="10667" xr:uid="{99111326-AB31-49F4-A2A2-6CBFFB42E9CA}"/>
    <cellStyle name="Normal 5 2 2 3 8" xfId="2572" xr:uid="{00000000-0005-0000-0000-0000E3170000}"/>
    <cellStyle name="Normal 5 2 2 3 8 2" xfId="6856" xr:uid="{00000000-0005-0000-0000-0000E4170000}"/>
    <cellStyle name="Normal 5 2 2 3 8 2 2" xfId="15298" xr:uid="{8029816D-1CCB-4D45-9D0E-57AA9994E146}"/>
    <cellStyle name="Normal 5 2 2 3 8 3" xfId="11080" xr:uid="{1646184A-45E5-4835-BE80-47435FB42E15}"/>
    <cellStyle name="Normal 5 2 2 3 9" xfId="4791" xr:uid="{00000000-0005-0000-0000-0000E5170000}"/>
    <cellStyle name="Normal 5 2 2 3 9 2" xfId="13233" xr:uid="{0F053593-8E44-4102-99EE-D0B8895CD86B}"/>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D6DE9145-C965-460B-8BB6-744EBE57BE29}"/>
    <cellStyle name="Normal 5 2 2 4 2 2 2 3" xfId="11578" xr:uid="{0AFEF1D9-5BE1-4F82-8DA0-91A457137937}"/>
    <cellStyle name="Normal 5 2 2 4 2 2 3" xfId="5209" xr:uid="{00000000-0005-0000-0000-0000EB170000}"/>
    <cellStyle name="Normal 5 2 2 4 2 2 3 2" xfId="13651" xr:uid="{A0D4DA5D-CB20-408E-909B-13CD0B47D472}"/>
    <cellStyle name="Normal 5 2 2 4 2 2 4" xfId="9433" xr:uid="{8D0FCC2C-ECE0-4EB3-90C4-453140E5B1C2}"/>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233D12A-0AA1-4492-971D-9233678121AE}"/>
    <cellStyle name="Normal 5 2 2 4 2 3 2 3" xfId="11991" xr:uid="{DD1E557D-466C-4432-8BFB-D56CD19E13C6}"/>
    <cellStyle name="Normal 5 2 2 4 2 3 3" xfId="5622" xr:uid="{00000000-0005-0000-0000-0000EF170000}"/>
    <cellStyle name="Normal 5 2 2 4 2 3 3 2" xfId="14064" xr:uid="{48AE4374-3F42-45AB-A692-F2D3B32FE2A2}"/>
    <cellStyle name="Normal 5 2 2 4 2 3 4" xfId="9846" xr:uid="{88D31B86-1B10-4A62-8C95-B409B804445E}"/>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21EC1917-734A-4D74-993F-FAB7F51D20E5}"/>
    <cellStyle name="Normal 5 2 2 4 2 4 2 3" xfId="12404" xr:uid="{DEFB2DA3-2C4D-4F1A-AE19-589A7D4BADCF}"/>
    <cellStyle name="Normal 5 2 2 4 2 4 3" xfId="6035" xr:uid="{00000000-0005-0000-0000-0000F3170000}"/>
    <cellStyle name="Normal 5 2 2 4 2 4 3 2" xfId="14477" xr:uid="{AC1DA082-C3EC-483C-AC86-1DF8B28CD84C}"/>
    <cellStyle name="Normal 5 2 2 4 2 4 4" xfId="10259" xr:uid="{5182CC5E-A879-4FCD-98A6-2CA3571CA149}"/>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7BA382C9-13BC-4A7A-8589-B332E73452D0}"/>
    <cellStyle name="Normal 5 2 2 4 2 5 2 3" xfId="12817" xr:uid="{974AC36C-C743-4B85-BDE3-B470165B50FF}"/>
    <cellStyle name="Normal 5 2 2 4 2 5 3" xfId="6448" xr:uid="{00000000-0005-0000-0000-0000F7170000}"/>
    <cellStyle name="Normal 5 2 2 4 2 5 3 2" xfId="14890" xr:uid="{F9132FF6-6073-4983-8A8E-16C7E4A3221F}"/>
    <cellStyle name="Normal 5 2 2 4 2 5 4" xfId="10672" xr:uid="{403A1E22-6F24-4654-AF2C-7A0B654638DC}"/>
    <cellStyle name="Normal 5 2 2 4 2 6" xfId="2577" xr:uid="{00000000-0005-0000-0000-0000F8170000}"/>
    <cellStyle name="Normal 5 2 2 4 2 6 2" xfId="6861" xr:uid="{00000000-0005-0000-0000-0000F9170000}"/>
    <cellStyle name="Normal 5 2 2 4 2 6 2 2" xfId="15303" xr:uid="{9AF57D27-1C1E-4D18-AE45-4342FCA8DEF4}"/>
    <cellStyle name="Normal 5 2 2 4 2 6 3" xfId="11085" xr:uid="{99AE207A-14AF-473F-9093-35340F78904B}"/>
    <cellStyle name="Normal 5 2 2 4 2 7" xfId="4796" xr:uid="{00000000-0005-0000-0000-0000FA170000}"/>
    <cellStyle name="Normal 5 2 2 4 2 7 2" xfId="13238" xr:uid="{0953F3AE-9D61-4FCC-A28C-F16B3C6EDF61}"/>
    <cellStyle name="Normal 5 2 2 4 2 8" xfId="9020" xr:uid="{1AC10A44-91BD-476B-8CD6-A15BAF540FA8}"/>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14979FA2-2C84-4C95-89AD-357844CA3BB6}"/>
    <cellStyle name="Normal 5 2 2 4 3 2 3" xfId="11577" xr:uid="{AC29343E-5E51-4E7D-ADA9-0E765319B954}"/>
    <cellStyle name="Normal 5 2 2 4 3 3" xfId="5208" xr:uid="{00000000-0005-0000-0000-0000FE170000}"/>
    <cellStyle name="Normal 5 2 2 4 3 3 2" xfId="13650" xr:uid="{FB43C341-830A-4440-8612-7E8E6680E1E8}"/>
    <cellStyle name="Normal 5 2 2 4 3 4" xfId="9432" xr:uid="{BFCF1581-F243-4082-B585-B78F9095BA85}"/>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220A90D4-0314-41F4-9DB1-406E1CC90C56}"/>
    <cellStyle name="Normal 5 2 2 4 4 2 3" xfId="11990" xr:uid="{1A02379C-1590-41C6-BD21-99A563648E5A}"/>
    <cellStyle name="Normal 5 2 2 4 4 3" xfId="5621" xr:uid="{00000000-0005-0000-0000-000002180000}"/>
    <cellStyle name="Normal 5 2 2 4 4 3 2" xfId="14063" xr:uid="{D18CE8A6-7896-4E71-B1A9-FB335FB3F95A}"/>
    <cellStyle name="Normal 5 2 2 4 4 4" xfId="9845" xr:uid="{B069308D-A2B9-4B9E-96E5-435FBDBA23C2}"/>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ED0C34AC-3844-4063-BC51-CDF31A97A7E6}"/>
    <cellStyle name="Normal 5 2 2 4 5 2 3" xfId="12403" xr:uid="{9416FD16-EFD3-4ED2-8A98-B4E230F2034E}"/>
    <cellStyle name="Normal 5 2 2 4 5 3" xfId="6034" xr:uid="{00000000-0005-0000-0000-000006180000}"/>
    <cellStyle name="Normal 5 2 2 4 5 3 2" xfId="14476" xr:uid="{997DD012-9E7E-4C6A-87B8-EE221D88E072}"/>
    <cellStyle name="Normal 5 2 2 4 5 4" xfId="10258" xr:uid="{B190D70A-7A06-4C91-80E4-01A49F89AE8B}"/>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37B677E2-ED17-4293-B2CD-7EE3F607E979}"/>
    <cellStyle name="Normal 5 2 2 4 6 2 3" xfId="12816" xr:uid="{8D4BC0B2-16BE-494B-9BDC-CB99E420DDE7}"/>
    <cellStyle name="Normal 5 2 2 4 6 3" xfId="6447" xr:uid="{00000000-0005-0000-0000-00000A180000}"/>
    <cellStyle name="Normal 5 2 2 4 6 3 2" xfId="14889" xr:uid="{9976DBC9-BC1D-40FA-B1AF-F22C0337516B}"/>
    <cellStyle name="Normal 5 2 2 4 6 4" xfId="10671" xr:uid="{946925B2-0895-4FE6-A184-5E7D831F8597}"/>
    <cellStyle name="Normal 5 2 2 4 7" xfId="2576" xr:uid="{00000000-0005-0000-0000-00000B180000}"/>
    <cellStyle name="Normal 5 2 2 4 7 2" xfId="6860" xr:uid="{00000000-0005-0000-0000-00000C180000}"/>
    <cellStyle name="Normal 5 2 2 4 7 2 2" xfId="15302" xr:uid="{C50AC54A-418B-4640-A720-51A160259603}"/>
    <cellStyle name="Normal 5 2 2 4 7 3" xfId="11084" xr:uid="{B41D611A-0B97-4970-A8B4-FECFEDFF6155}"/>
    <cellStyle name="Normal 5 2 2 4 8" xfId="4795" xr:uid="{00000000-0005-0000-0000-00000D180000}"/>
    <cellStyle name="Normal 5 2 2 4 8 2" xfId="13237" xr:uid="{11775707-1958-435C-ADE9-243A425F9034}"/>
    <cellStyle name="Normal 5 2 2 4 9" xfId="9019" xr:uid="{FD568DF7-2333-45E9-9D52-CFD85C459572}"/>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601E1A78-9F97-4E74-A30D-EA97A02F8760}"/>
    <cellStyle name="Normal 5 2 2 5 2 2 3" xfId="11579" xr:uid="{50EED7F5-1A4D-4869-9C2A-547C3C33D04D}"/>
    <cellStyle name="Normal 5 2 2 5 2 3" xfId="5210" xr:uid="{00000000-0005-0000-0000-000012180000}"/>
    <cellStyle name="Normal 5 2 2 5 2 3 2" xfId="13652" xr:uid="{1C6498B7-ADF5-41D2-9EB3-9546F5A9B15F}"/>
    <cellStyle name="Normal 5 2 2 5 2 4" xfId="9434" xr:uid="{AD0C4648-07E3-462F-9109-D612200FB791}"/>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5EB5763F-8523-42C0-8FF0-1F9D480F283D}"/>
    <cellStyle name="Normal 5 2 2 5 3 2 3" xfId="11992" xr:uid="{B272E5B0-2037-438E-B85D-2C2682347B99}"/>
    <cellStyle name="Normal 5 2 2 5 3 3" xfId="5623" xr:uid="{00000000-0005-0000-0000-000016180000}"/>
    <cellStyle name="Normal 5 2 2 5 3 3 2" xfId="14065" xr:uid="{E9DF079F-CDB9-49AE-8D1A-A3AF504C61A5}"/>
    <cellStyle name="Normal 5 2 2 5 3 4" xfId="9847" xr:uid="{097CAF72-95C5-4962-9A95-7BB60C9B5964}"/>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0C325335-9FA7-496A-941E-FEC9704FC69F}"/>
    <cellStyle name="Normal 5 2 2 5 4 2 3" xfId="12405" xr:uid="{41C551A2-8DA5-4596-A2C8-5546455DAD79}"/>
    <cellStyle name="Normal 5 2 2 5 4 3" xfId="6036" xr:uid="{00000000-0005-0000-0000-00001A180000}"/>
    <cellStyle name="Normal 5 2 2 5 4 3 2" xfId="14478" xr:uid="{F7A88097-BD97-4B16-B730-5991935D1CCB}"/>
    <cellStyle name="Normal 5 2 2 5 4 4" xfId="10260" xr:uid="{CC48A0F4-57C9-4D62-A317-93C7FC4E44BB}"/>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F94BB10A-D56D-47FA-8730-B23534E23A8A}"/>
    <cellStyle name="Normal 5 2 2 5 5 2 3" xfId="12818" xr:uid="{731556DC-6755-4823-8000-C705C2F28C88}"/>
    <cellStyle name="Normal 5 2 2 5 5 3" xfId="6449" xr:uid="{00000000-0005-0000-0000-00001E180000}"/>
    <cellStyle name="Normal 5 2 2 5 5 3 2" xfId="14891" xr:uid="{D8551D31-61CF-42FA-8356-C2AC14093B4E}"/>
    <cellStyle name="Normal 5 2 2 5 5 4" xfId="10673" xr:uid="{6DDE1F44-17D6-42B6-B4B9-EB774FF46E45}"/>
    <cellStyle name="Normal 5 2 2 5 6" xfId="2578" xr:uid="{00000000-0005-0000-0000-00001F180000}"/>
    <cellStyle name="Normal 5 2 2 5 6 2" xfId="6862" xr:uid="{00000000-0005-0000-0000-000020180000}"/>
    <cellStyle name="Normal 5 2 2 5 6 2 2" xfId="15304" xr:uid="{45D4BF28-602E-4F2E-AE6A-F748E701D1FF}"/>
    <cellStyle name="Normal 5 2 2 5 6 3" xfId="11086" xr:uid="{16B92A76-7306-43E2-B0F1-9491578DB598}"/>
    <cellStyle name="Normal 5 2 2 5 7" xfId="4797" xr:uid="{00000000-0005-0000-0000-000021180000}"/>
    <cellStyle name="Normal 5 2 2 5 7 2" xfId="13239" xr:uid="{548DF1DD-6311-4FA5-9783-1FE001AB7A22}"/>
    <cellStyle name="Normal 5 2 2 5 8" xfId="9021" xr:uid="{00848537-DEB9-4BF1-B89E-8550BD2E5FBF}"/>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4C3E2E4A-E82B-495D-84BD-3B490D2CFF15}"/>
    <cellStyle name="Normal 5 2 2 6 2 3" xfId="11564" xr:uid="{9A5ED8F2-5BCA-4044-B9EF-AC266A271FC3}"/>
    <cellStyle name="Normal 5 2 2 6 3" xfId="5195" xr:uid="{00000000-0005-0000-0000-000025180000}"/>
    <cellStyle name="Normal 5 2 2 6 3 2" xfId="13637" xr:uid="{0EDE0B9B-F327-4E15-A177-06269EFFAA06}"/>
    <cellStyle name="Normal 5 2 2 6 4" xfId="9419" xr:uid="{53BF9CD0-1C97-4A88-B519-A4E18D514F15}"/>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9EC13CF9-08D8-42CB-966F-BCED64701CD5}"/>
    <cellStyle name="Normal 5 2 2 7 2 3" xfId="11977" xr:uid="{C60E1A1F-8DE4-413F-BC4B-C6D867537FE2}"/>
    <cellStyle name="Normal 5 2 2 7 3" xfId="5608" xr:uid="{00000000-0005-0000-0000-000029180000}"/>
    <cellStyle name="Normal 5 2 2 7 3 2" xfId="14050" xr:uid="{051A0AC7-680B-4D10-BFDC-AF5EF155227B}"/>
    <cellStyle name="Normal 5 2 2 7 4" xfId="9832" xr:uid="{3425A644-CC8F-45EC-B2A9-8CB2C689EE71}"/>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183D481F-D3A8-4439-8C93-2C5BD917247D}"/>
    <cellStyle name="Normal 5 2 2 8 2 3" xfId="12390" xr:uid="{9057B2A4-56B6-4289-9E2D-075FF1803B08}"/>
    <cellStyle name="Normal 5 2 2 8 3" xfId="6021" xr:uid="{00000000-0005-0000-0000-00002D180000}"/>
    <cellStyle name="Normal 5 2 2 8 3 2" xfId="14463" xr:uid="{64BC9D97-A2F0-4BC1-884B-92396E750DD8}"/>
    <cellStyle name="Normal 5 2 2 8 4" xfId="10245" xr:uid="{D1972789-59EE-47B5-90C1-067A366B2CBC}"/>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DEEC59D3-E713-40AF-BC21-A3BBECF95746}"/>
    <cellStyle name="Normal 5 2 2 9 2 3" xfId="12803" xr:uid="{C5E299E9-5676-47A2-B3D4-2836C8D10D33}"/>
    <cellStyle name="Normal 5 2 2 9 3" xfId="6434" xr:uid="{00000000-0005-0000-0000-000031180000}"/>
    <cellStyle name="Normal 5 2 2 9 3 2" xfId="14876" xr:uid="{EB88AA5D-85C9-4F0A-8AAE-93AB37BC41F1}"/>
    <cellStyle name="Normal 5 2 2 9 4" xfId="10658" xr:uid="{5B0AAAB7-8A72-4205-A6DF-DB32A365EC4A}"/>
    <cellStyle name="Normal 5 2 3" xfId="424" xr:uid="{00000000-0005-0000-0000-000032180000}"/>
    <cellStyle name="Normal 5 2 3 10" xfId="4798" xr:uid="{00000000-0005-0000-0000-000033180000}"/>
    <cellStyle name="Normal 5 2 3 10 2" xfId="13240" xr:uid="{D8E3B1E4-CAA0-4049-97B9-518C3550DC06}"/>
    <cellStyle name="Normal 5 2 3 11" xfId="9022" xr:uid="{2D4DBB42-E54D-42A3-8A70-D7F813296E61}"/>
    <cellStyle name="Normal 5 2 3 2" xfId="425" xr:uid="{00000000-0005-0000-0000-000034180000}"/>
    <cellStyle name="Normal 5 2 3 2 10" xfId="9023" xr:uid="{D26E8951-63D8-4095-83A0-5F1551CA80D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DCB72C44-736D-4253-9B52-6C6731277245}"/>
    <cellStyle name="Normal 5 2 3 2 2 2 2 2 3" xfId="11583" xr:uid="{08FD856D-85C6-4D8B-AD07-99569DF67F27}"/>
    <cellStyle name="Normal 5 2 3 2 2 2 2 3" xfId="5214" xr:uid="{00000000-0005-0000-0000-00003A180000}"/>
    <cellStyle name="Normal 5 2 3 2 2 2 2 3 2" xfId="13656" xr:uid="{C276DE8E-69F3-419C-A94A-6505373F3D05}"/>
    <cellStyle name="Normal 5 2 3 2 2 2 2 4" xfId="9438" xr:uid="{46D7C552-EFC5-4F7B-94A1-0E116925B3CF}"/>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ECF63600-3BAF-4CA7-BE99-982D324DE919}"/>
    <cellStyle name="Normal 5 2 3 2 2 2 3 2 3" xfId="11996" xr:uid="{96B3FB84-925B-4753-A07B-C1799958F172}"/>
    <cellStyle name="Normal 5 2 3 2 2 2 3 3" xfId="5627" xr:uid="{00000000-0005-0000-0000-00003E180000}"/>
    <cellStyle name="Normal 5 2 3 2 2 2 3 3 2" xfId="14069" xr:uid="{A476524F-A263-407D-B22E-51D0C0806BA7}"/>
    <cellStyle name="Normal 5 2 3 2 2 2 3 4" xfId="9851" xr:uid="{3AD726F2-0F05-468A-8B67-2D300CA7B3E3}"/>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1F6D7B4F-DEFE-4C71-B7B1-CC8DDC92977A}"/>
    <cellStyle name="Normal 5 2 3 2 2 2 4 2 3" xfId="12409" xr:uid="{5E286FF9-1BDC-4AEC-B125-23C8B7FBE81F}"/>
    <cellStyle name="Normal 5 2 3 2 2 2 4 3" xfId="6040" xr:uid="{00000000-0005-0000-0000-000042180000}"/>
    <cellStyle name="Normal 5 2 3 2 2 2 4 3 2" xfId="14482" xr:uid="{823A5661-DFB4-42D6-BC10-3CF5E5D400FD}"/>
    <cellStyle name="Normal 5 2 3 2 2 2 4 4" xfId="10264" xr:uid="{19ECA5BC-CD5A-44BB-B050-D9CABCBE3D4C}"/>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081F2BC7-C1B4-4F27-B996-D6B3D4CDF2D0}"/>
    <cellStyle name="Normal 5 2 3 2 2 2 5 2 3" xfId="12822" xr:uid="{DC3F48A2-BFBB-4F47-AD11-091EA5E1DA1F}"/>
    <cellStyle name="Normal 5 2 3 2 2 2 5 3" xfId="6453" xr:uid="{00000000-0005-0000-0000-000046180000}"/>
    <cellStyle name="Normal 5 2 3 2 2 2 5 3 2" xfId="14895" xr:uid="{6A812CA9-94AE-4A9A-AD36-2093B06B06C2}"/>
    <cellStyle name="Normal 5 2 3 2 2 2 5 4" xfId="10677" xr:uid="{ABE73209-FAF6-472B-AA6C-6F74674D967A}"/>
    <cellStyle name="Normal 5 2 3 2 2 2 6" xfId="2582" xr:uid="{00000000-0005-0000-0000-000047180000}"/>
    <cellStyle name="Normal 5 2 3 2 2 2 6 2" xfId="6866" xr:uid="{00000000-0005-0000-0000-000048180000}"/>
    <cellStyle name="Normal 5 2 3 2 2 2 6 2 2" xfId="15308" xr:uid="{04162B10-4AD2-4C4C-9C5F-9952C56EE2E8}"/>
    <cellStyle name="Normal 5 2 3 2 2 2 6 3" xfId="11090" xr:uid="{2557A363-29AB-401E-AC1A-496078BB175F}"/>
    <cellStyle name="Normal 5 2 3 2 2 2 7" xfId="4801" xr:uid="{00000000-0005-0000-0000-000049180000}"/>
    <cellStyle name="Normal 5 2 3 2 2 2 7 2" xfId="13243" xr:uid="{BB3AB956-13B8-43C5-BD66-D9BA5D87226B}"/>
    <cellStyle name="Normal 5 2 3 2 2 2 8" xfId="9025" xr:uid="{4FE90D5C-5313-4F9B-9E9E-B1A092A8FE6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DE630A2A-2E28-41B2-86B9-6C08B2BEA109}"/>
    <cellStyle name="Normal 5 2 3 2 2 3 2 3" xfId="11582" xr:uid="{A2897D90-0D03-4317-9CAC-A43416EEDB28}"/>
    <cellStyle name="Normal 5 2 3 2 2 3 3" xfId="5213" xr:uid="{00000000-0005-0000-0000-00004D180000}"/>
    <cellStyle name="Normal 5 2 3 2 2 3 3 2" xfId="13655" xr:uid="{7BC2FEA5-21E7-4DC6-BEB6-37F946E3F45C}"/>
    <cellStyle name="Normal 5 2 3 2 2 3 4" xfId="9437" xr:uid="{BFF3608D-3B6E-42AB-AADE-75D509C24D8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F964168F-71C2-4868-B759-86198DC264F9}"/>
    <cellStyle name="Normal 5 2 3 2 2 4 2 3" xfId="11995" xr:uid="{DF314105-C184-4E6F-A691-BE0C0C091701}"/>
    <cellStyle name="Normal 5 2 3 2 2 4 3" xfId="5626" xr:uid="{00000000-0005-0000-0000-000051180000}"/>
    <cellStyle name="Normal 5 2 3 2 2 4 3 2" xfId="14068" xr:uid="{6BDCDC22-170C-4E0B-9F79-CF67296C58E8}"/>
    <cellStyle name="Normal 5 2 3 2 2 4 4" xfId="9850" xr:uid="{48794D7F-DF77-46BD-B384-47AD21D3AB62}"/>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82E2EE88-E45E-417E-9650-B244FDDE82BE}"/>
    <cellStyle name="Normal 5 2 3 2 2 5 2 3" xfId="12408" xr:uid="{B11021DF-69AC-4453-9F1F-9B0824E1D5D1}"/>
    <cellStyle name="Normal 5 2 3 2 2 5 3" xfId="6039" xr:uid="{00000000-0005-0000-0000-000055180000}"/>
    <cellStyle name="Normal 5 2 3 2 2 5 3 2" xfId="14481" xr:uid="{EF53A3A7-9D70-458D-B1A8-5D7D78AB8B51}"/>
    <cellStyle name="Normal 5 2 3 2 2 5 4" xfId="10263" xr:uid="{F09D6A19-E159-4836-A2CA-DE23C820F706}"/>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48FF7D20-CD8E-40A0-A145-60255C87F5AE}"/>
    <cellStyle name="Normal 5 2 3 2 2 6 2 3" xfId="12821" xr:uid="{06D348BA-0C64-45C7-B9FB-5CC5193F2B80}"/>
    <cellStyle name="Normal 5 2 3 2 2 6 3" xfId="6452" xr:uid="{00000000-0005-0000-0000-000059180000}"/>
    <cellStyle name="Normal 5 2 3 2 2 6 3 2" xfId="14894" xr:uid="{EDFF6ABC-E304-4BCB-B4F9-779E68EAB567}"/>
    <cellStyle name="Normal 5 2 3 2 2 6 4" xfId="10676" xr:uid="{C0B6E18D-BA1F-42BA-B4AA-06E606471B7E}"/>
    <cellStyle name="Normal 5 2 3 2 2 7" xfId="2581" xr:uid="{00000000-0005-0000-0000-00005A180000}"/>
    <cellStyle name="Normal 5 2 3 2 2 7 2" xfId="6865" xr:uid="{00000000-0005-0000-0000-00005B180000}"/>
    <cellStyle name="Normal 5 2 3 2 2 7 2 2" xfId="15307" xr:uid="{B9BFAEB1-54EF-4965-BF75-6B9AE2FDE638}"/>
    <cellStyle name="Normal 5 2 3 2 2 7 3" xfId="11089" xr:uid="{599DF7FD-2127-411D-84C7-746B095D5AF0}"/>
    <cellStyle name="Normal 5 2 3 2 2 8" xfId="4800" xr:uid="{00000000-0005-0000-0000-00005C180000}"/>
    <cellStyle name="Normal 5 2 3 2 2 8 2" xfId="13242" xr:uid="{2C5A7582-0683-4E70-9994-F5054006C2F3}"/>
    <cellStyle name="Normal 5 2 3 2 2 9" xfId="9024" xr:uid="{7FC68873-1D79-4AD4-AA89-6FD30CCA76C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C0465912-8E7A-47C8-8C3F-2F8E2621CF1C}"/>
    <cellStyle name="Normal 5 2 3 2 3 2 2 3" xfId="11584" xr:uid="{61FD7478-4EE8-45D5-BF9F-4EE322A73378}"/>
    <cellStyle name="Normal 5 2 3 2 3 2 3" xfId="5215" xr:uid="{00000000-0005-0000-0000-000061180000}"/>
    <cellStyle name="Normal 5 2 3 2 3 2 3 2" xfId="13657" xr:uid="{F7469CDD-A161-4519-B83A-2E957FF061BA}"/>
    <cellStyle name="Normal 5 2 3 2 3 2 4" xfId="9439" xr:uid="{D4DDA27A-ED0B-4912-B3F1-427C5B307506}"/>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5F58F713-5E3B-45DE-B103-5C06574A3D64}"/>
    <cellStyle name="Normal 5 2 3 2 3 3 2 3" xfId="11997" xr:uid="{895ADA7C-5A5E-4E30-BF0C-292C7C55DC7A}"/>
    <cellStyle name="Normal 5 2 3 2 3 3 3" xfId="5628" xr:uid="{00000000-0005-0000-0000-000065180000}"/>
    <cellStyle name="Normal 5 2 3 2 3 3 3 2" xfId="14070" xr:uid="{A21DF6D4-5BFC-4485-BFFB-E7E13C54C616}"/>
    <cellStyle name="Normal 5 2 3 2 3 3 4" xfId="9852" xr:uid="{6FFAF1D7-CCED-441E-924C-3284A5333313}"/>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5C5D7946-2D07-4A9C-89B6-F2420F2FE3E0}"/>
    <cellStyle name="Normal 5 2 3 2 3 4 2 3" xfId="12410" xr:uid="{95CD950C-0BCF-4D33-A6FE-2820A6B0A20A}"/>
    <cellStyle name="Normal 5 2 3 2 3 4 3" xfId="6041" xr:uid="{00000000-0005-0000-0000-000069180000}"/>
    <cellStyle name="Normal 5 2 3 2 3 4 3 2" xfId="14483" xr:uid="{0CAA0F1D-551E-48F6-964F-E5FF67D19FFC}"/>
    <cellStyle name="Normal 5 2 3 2 3 4 4" xfId="10265" xr:uid="{99CED7AA-E206-4E59-B1F8-D0CA67B1E9A6}"/>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C73DF98D-7598-4D4A-BC57-77170C3473F0}"/>
    <cellStyle name="Normal 5 2 3 2 3 5 2 3" xfId="12823" xr:uid="{D9F7A415-2E01-4CA2-B1BA-CD53DC05AC7B}"/>
    <cellStyle name="Normal 5 2 3 2 3 5 3" xfId="6454" xr:uid="{00000000-0005-0000-0000-00006D180000}"/>
    <cellStyle name="Normal 5 2 3 2 3 5 3 2" xfId="14896" xr:uid="{8742462F-1421-4C72-9014-B83B0E643738}"/>
    <cellStyle name="Normal 5 2 3 2 3 5 4" xfId="10678" xr:uid="{6713447F-58EF-43E4-AD64-FB988E3DB182}"/>
    <cellStyle name="Normal 5 2 3 2 3 6" xfId="2583" xr:uid="{00000000-0005-0000-0000-00006E180000}"/>
    <cellStyle name="Normal 5 2 3 2 3 6 2" xfId="6867" xr:uid="{00000000-0005-0000-0000-00006F180000}"/>
    <cellStyle name="Normal 5 2 3 2 3 6 2 2" xfId="15309" xr:uid="{BE4D42AA-0475-47E2-8B1F-AAF560D178F4}"/>
    <cellStyle name="Normal 5 2 3 2 3 6 3" xfId="11091" xr:uid="{5AE89EDB-532F-419C-949D-681032AA9595}"/>
    <cellStyle name="Normal 5 2 3 2 3 7" xfId="4802" xr:uid="{00000000-0005-0000-0000-000070180000}"/>
    <cellStyle name="Normal 5 2 3 2 3 7 2" xfId="13244" xr:uid="{47DD2CA7-FDE5-4DD4-ADB5-581F2CA48E75}"/>
    <cellStyle name="Normal 5 2 3 2 3 8" xfId="9026" xr:uid="{2366348E-94BE-436B-B2FC-2055D999E646}"/>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7031DD2-A8B5-4372-9413-8C3F2D09822B}"/>
    <cellStyle name="Normal 5 2 3 2 4 2 3" xfId="11581" xr:uid="{CCC7D7C4-BADC-4827-BE20-22238C932E78}"/>
    <cellStyle name="Normal 5 2 3 2 4 3" xfId="5212" xr:uid="{00000000-0005-0000-0000-000074180000}"/>
    <cellStyle name="Normal 5 2 3 2 4 3 2" xfId="13654" xr:uid="{42372751-3413-43A2-844E-8F8E91A51FAA}"/>
    <cellStyle name="Normal 5 2 3 2 4 4" xfId="9436" xr:uid="{FB62F41D-D586-49F4-8C28-449936E1CC5E}"/>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B8F2F8F6-BBE4-45AC-BBFD-D56FE0A55011}"/>
    <cellStyle name="Normal 5 2 3 2 5 2 3" xfId="11994" xr:uid="{2ACF0BC2-0E4A-4B94-AF87-146143D79287}"/>
    <cellStyle name="Normal 5 2 3 2 5 3" xfId="5625" xr:uid="{00000000-0005-0000-0000-000078180000}"/>
    <cellStyle name="Normal 5 2 3 2 5 3 2" xfId="14067" xr:uid="{0D28CCA4-7730-4BFC-87E4-8502C4125A01}"/>
    <cellStyle name="Normal 5 2 3 2 5 4" xfId="9849" xr:uid="{EB83A387-82A2-43AA-A745-C3CE3B79859D}"/>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6558FF14-86ED-421C-9B09-70BB2C1E0F33}"/>
    <cellStyle name="Normal 5 2 3 2 6 2 3" xfId="12407" xr:uid="{914D503A-2A61-46FB-A9AF-30417A562CB5}"/>
    <cellStyle name="Normal 5 2 3 2 6 3" xfId="6038" xr:uid="{00000000-0005-0000-0000-00007C180000}"/>
    <cellStyle name="Normal 5 2 3 2 6 3 2" xfId="14480" xr:uid="{CB19A702-31A3-4D77-903A-8FEDC5BC9559}"/>
    <cellStyle name="Normal 5 2 3 2 6 4" xfId="10262" xr:uid="{A0D5E819-10B4-4FF7-AFF7-AA6DFD6BD94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33CC14FA-26DA-48B5-9793-37A2F3F3400F}"/>
    <cellStyle name="Normal 5 2 3 2 7 2 3" xfId="12820" xr:uid="{802D94AC-DA66-46EF-AF63-D5E984EC26CF}"/>
    <cellStyle name="Normal 5 2 3 2 7 3" xfId="6451" xr:uid="{00000000-0005-0000-0000-000080180000}"/>
    <cellStyle name="Normal 5 2 3 2 7 3 2" xfId="14893" xr:uid="{D1C390AD-1FB4-4395-9FBC-95D37F4F2D45}"/>
    <cellStyle name="Normal 5 2 3 2 7 4" xfId="10675" xr:uid="{ABEA7567-A7B8-4DD2-801E-31EFFD039B1C}"/>
    <cellStyle name="Normal 5 2 3 2 8" xfId="2580" xr:uid="{00000000-0005-0000-0000-000081180000}"/>
    <cellStyle name="Normal 5 2 3 2 8 2" xfId="6864" xr:uid="{00000000-0005-0000-0000-000082180000}"/>
    <cellStyle name="Normal 5 2 3 2 8 2 2" xfId="15306" xr:uid="{EAD49891-D8B0-4F70-B987-DD8CDF34A44B}"/>
    <cellStyle name="Normal 5 2 3 2 8 3" xfId="11088" xr:uid="{8188A936-E2FC-4FE4-93C8-31A73DB48B86}"/>
    <cellStyle name="Normal 5 2 3 2 9" xfId="4799" xr:uid="{00000000-0005-0000-0000-000083180000}"/>
    <cellStyle name="Normal 5 2 3 2 9 2" xfId="13241" xr:uid="{8B8CEBA6-178A-4B62-871E-55178C2BD87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27F781E4-8A1D-43B7-840A-141368B64CEF}"/>
    <cellStyle name="Normal 5 2 3 3 2 2 2 3" xfId="11586" xr:uid="{3BA46A12-02F6-45AF-A745-E9BA9E61A5B5}"/>
    <cellStyle name="Normal 5 2 3 3 2 2 3" xfId="5217" xr:uid="{00000000-0005-0000-0000-000089180000}"/>
    <cellStyle name="Normal 5 2 3 3 2 2 3 2" xfId="13659" xr:uid="{2AECCC72-E6B6-46FE-A075-D90BB0EB15B8}"/>
    <cellStyle name="Normal 5 2 3 3 2 2 4" xfId="9441" xr:uid="{545011CA-5D9D-4A49-8265-A7A4070D674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D103FFF7-F995-45B9-8AEB-86125310B055}"/>
    <cellStyle name="Normal 5 2 3 3 2 3 2 3" xfId="11999" xr:uid="{2E4D89A0-711C-4E54-A198-0C836377BF31}"/>
    <cellStyle name="Normal 5 2 3 3 2 3 3" xfId="5630" xr:uid="{00000000-0005-0000-0000-00008D180000}"/>
    <cellStyle name="Normal 5 2 3 3 2 3 3 2" xfId="14072" xr:uid="{D9D5712A-72C0-4D00-98AC-4C48624E2626}"/>
    <cellStyle name="Normal 5 2 3 3 2 3 4" xfId="9854" xr:uid="{DE8C7F4D-CF66-4C89-A124-A4810275539B}"/>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28ECF659-50E5-4FB4-8EB2-2E3B1C06E33E}"/>
    <cellStyle name="Normal 5 2 3 3 2 4 2 3" xfId="12412" xr:uid="{D7635FC3-55A9-4003-BEE3-E8CE7A315D44}"/>
    <cellStyle name="Normal 5 2 3 3 2 4 3" xfId="6043" xr:uid="{00000000-0005-0000-0000-000091180000}"/>
    <cellStyle name="Normal 5 2 3 3 2 4 3 2" xfId="14485" xr:uid="{B66E7B89-D4DF-43C1-9BA3-7444EE1F7F0D}"/>
    <cellStyle name="Normal 5 2 3 3 2 4 4" xfId="10267" xr:uid="{EAB5A587-4E02-4F23-89D9-EB6FD9F6AFA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84B7BA8B-8E5F-43E2-B423-9024710A6060}"/>
    <cellStyle name="Normal 5 2 3 3 2 5 2 3" xfId="12825" xr:uid="{EB914D3B-F72B-4270-B709-F2E41DDE2DA2}"/>
    <cellStyle name="Normal 5 2 3 3 2 5 3" xfId="6456" xr:uid="{00000000-0005-0000-0000-000095180000}"/>
    <cellStyle name="Normal 5 2 3 3 2 5 3 2" xfId="14898" xr:uid="{711A3D78-5E43-42E3-9DCA-C5163A376F58}"/>
    <cellStyle name="Normal 5 2 3 3 2 5 4" xfId="10680" xr:uid="{F7560233-4BD1-402A-A195-7F6D0088BDAF}"/>
    <cellStyle name="Normal 5 2 3 3 2 6" xfId="2585" xr:uid="{00000000-0005-0000-0000-000096180000}"/>
    <cellStyle name="Normal 5 2 3 3 2 6 2" xfId="6869" xr:uid="{00000000-0005-0000-0000-000097180000}"/>
    <cellStyle name="Normal 5 2 3 3 2 6 2 2" xfId="15311" xr:uid="{A6B78F84-2D61-4291-902B-DFEFBDE71279}"/>
    <cellStyle name="Normal 5 2 3 3 2 6 3" xfId="11093" xr:uid="{0807265E-6706-4E09-A1C5-87AFCDAAA0AA}"/>
    <cellStyle name="Normal 5 2 3 3 2 7" xfId="4804" xr:uid="{00000000-0005-0000-0000-000098180000}"/>
    <cellStyle name="Normal 5 2 3 3 2 7 2" xfId="13246" xr:uid="{3B0CF05B-2575-457F-9776-9B77342F8C4C}"/>
    <cellStyle name="Normal 5 2 3 3 2 8" xfId="9028" xr:uid="{EE1C7DA3-30F5-467B-A631-CF75292DCA06}"/>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3BE07EA-F7B4-4C58-B1CC-F48EF1291CE0}"/>
    <cellStyle name="Normal 5 2 3 3 3 2 3" xfId="11585" xr:uid="{BB608201-3659-43C3-892E-26845DE254DD}"/>
    <cellStyle name="Normal 5 2 3 3 3 3" xfId="5216" xr:uid="{00000000-0005-0000-0000-00009C180000}"/>
    <cellStyle name="Normal 5 2 3 3 3 3 2" xfId="13658" xr:uid="{778C0812-67F9-40A6-A9D3-18F377E7464E}"/>
    <cellStyle name="Normal 5 2 3 3 3 4" xfId="9440" xr:uid="{74B533C1-3261-460A-BAE2-95B8BA022401}"/>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7B0AD9DD-D8CB-425F-AE4B-219FBC1ED62D}"/>
    <cellStyle name="Normal 5 2 3 3 4 2 3" xfId="11998" xr:uid="{B6ACB1AA-DAC6-466B-B3DF-9C884D5A8E03}"/>
    <cellStyle name="Normal 5 2 3 3 4 3" xfId="5629" xr:uid="{00000000-0005-0000-0000-0000A0180000}"/>
    <cellStyle name="Normal 5 2 3 3 4 3 2" xfId="14071" xr:uid="{BFC5D173-8486-4C58-AD3D-347C069075CC}"/>
    <cellStyle name="Normal 5 2 3 3 4 4" xfId="9853" xr:uid="{55C675D5-D8B4-4238-AF3D-32E7EE8E05F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82F43830-0047-41DB-AD49-3937DDB34629}"/>
    <cellStyle name="Normal 5 2 3 3 5 2 3" xfId="12411" xr:uid="{D499A541-16A5-4E92-BC41-CE713C88AB4C}"/>
    <cellStyle name="Normal 5 2 3 3 5 3" xfId="6042" xr:uid="{00000000-0005-0000-0000-0000A4180000}"/>
    <cellStyle name="Normal 5 2 3 3 5 3 2" xfId="14484" xr:uid="{6DA0080E-7221-4411-BFE9-B69CF6A0213C}"/>
    <cellStyle name="Normal 5 2 3 3 5 4" xfId="10266" xr:uid="{70EBB464-3F05-4258-9585-A480F160318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AFDDF16E-C0CB-4B70-9A35-7143BE5FC5FE}"/>
    <cellStyle name="Normal 5 2 3 3 6 2 3" xfId="12824" xr:uid="{B9174B8A-17CE-44AA-B205-6A93E57D4BD5}"/>
    <cellStyle name="Normal 5 2 3 3 6 3" xfId="6455" xr:uid="{00000000-0005-0000-0000-0000A8180000}"/>
    <cellStyle name="Normal 5 2 3 3 6 3 2" xfId="14897" xr:uid="{206C2E98-C682-4AA4-BE75-61D2149F44BD}"/>
    <cellStyle name="Normal 5 2 3 3 6 4" xfId="10679" xr:uid="{114BBE61-D9B4-4D3C-907C-104684C74CAB}"/>
    <cellStyle name="Normal 5 2 3 3 7" xfId="2584" xr:uid="{00000000-0005-0000-0000-0000A9180000}"/>
    <cellStyle name="Normal 5 2 3 3 7 2" xfId="6868" xr:uid="{00000000-0005-0000-0000-0000AA180000}"/>
    <cellStyle name="Normal 5 2 3 3 7 2 2" xfId="15310" xr:uid="{08851702-5E5C-49DF-A051-6C986E8D61AF}"/>
    <cellStyle name="Normal 5 2 3 3 7 3" xfId="11092" xr:uid="{63A1A32F-1F96-4FAC-8486-22CCF774CCDF}"/>
    <cellStyle name="Normal 5 2 3 3 8" xfId="4803" xr:uid="{00000000-0005-0000-0000-0000AB180000}"/>
    <cellStyle name="Normal 5 2 3 3 8 2" xfId="13245" xr:uid="{82863964-C1CD-4A8C-949D-F24D4B09ADC8}"/>
    <cellStyle name="Normal 5 2 3 3 9" xfId="9027" xr:uid="{560EADD6-0AD1-46AD-8AE9-0091EC84175B}"/>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9755AA7B-8EEC-4889-90C5-670FBE401FF5}"/>
    <cellStyle name="Normal 5 2 3 4 2 2 3" xfId="11587" xr:uid="{2DCFBA99-2A36-47CA-8908-9F5D2623BBAD}"/>
    <cellStyle name="Normal 5 2 3 4 2 3" xfId="5218" xr:uid="{00000000-0005-0000-0000-0000B0180000}"/>
    <cellStyle name="Normal 5 2 3 4 2 3 2" xfId="13660" xr:uid="{BDBB2D9F-8D23-43F1-995A-D1BBC83AA4B5}"/>
    <cellStyle name="Normal 5 2 3 4 2 4" xfId="9442" xr:uid="{813B7A99-DCCC-493D-A596-D6B456DBAD94}"/>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3A0F07DD-DD5B-44DB-94E3-9553FFEAAD21}"/>
    <cellStyle name="Normal 5 2 3 4 3 2 3" xfId="12000" xr:uid="{8C0378B8-C7CE-4EC0-950D-EC930791F831}"/>
    <cellStyle name="Normal 5 2 3 4 3 3" xfId="5631" xr:uid="{00000000-0005-0000-0000-0000B4180000}"/>
    <cellStyle name="Normal 5 2 3 4 3 3 2" xfId="14073" xr:uid="{4DA3F3F3-9E1E-4152-A821-29B2C7DCBD21}"/>
    <cellStyle name="Normal 5 2 3 4 3 4" xfId="9855" xr:uid="{5C0A9E70-4C21-4D2F-B333-5982A59F4AC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95EAA1B4-B22E-4E43-9CBE-13EE6AC439A7}"/>
    <cellStyle name="Normal 5 2 3 4 4 2 3" xfId="12413" xr:uid="{F5F334E8-9999-4592-A8B1-80F5D087004C}"/>
    <cellStyle name="Normal 5 2 3 4 4 3" xfId="6044" xr:uid="{00000000-0005-0000-0000-0000B8180000}"/>
    <cellStyle name="Normal 5 2 3 4 4 3 2" xfId="14486" xr:uid="{DAB7486C-7B7B-486D-833D-74120ED03018}"/>
    <cellStyle name="Normal 5 2 3 4 4 4" xfId="10268" xr:uid="{17AB09B8-8F4B-4FF8-B20A-D229A4DCEFBB}"/>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9ECAB9F7-6F3C-495F-B1F6-04178E1DC774}"/>
    <cellStyle name="Normal 5 2 3 4 5 2 3" xfId="12826" xr:uid="{14F949BB-0FFF-4CC2-8928-CCA3B1CB3A10}"/>
    <cellStyle name="Normal 5 2 3 4 5 3" xfId="6457" xr:uid="{00000000-0005-0000-0000-0000BC180000}"/>
    <cellStyle name="Normal 5 2 3 4 5 3 2" xfId="14899" xr:uid="{D9443DF2-2ECB-496D-8202-E447E9A84C72}"/>
    <cellStyle name="Normal 5 2 3 4 5 4" xfId="10681" xr:uid="{745ADA83-7D78-4D08-8A7D-13917D757EDC}"/>
    <cellStyle name="Normal 5 2 3 4 6" xfId="2586" xr:uid="{00000000-0005-0000-0000-0000BD180000}"/>
    <cellStyle name="Normal 5 2 3 4 6 2" xfId="6870" xr:uid="{00000000-0005-0000-0000-0000BE180000}"/>
    <cellStyle name="Normal 5 2 3 4 6 2 2" xfId="15312" xr:uid="{41D40E18-1EAC-420C-8143-0C49DA39E7D5}"/>
    <cellStyle name="Normal 5 2 3 4 6 3" xfId="11094" xr:uid="{9A87C328-24E2-41A0-9E18-74009821822D}"/>
    <cellStyle name="Normal 5 2 3 4 7" xfId="4805" xr:uid="{00000000-0005-0000-0000-0000BF180000}"/>
    <cellStyle name="Normal 5 2 3 4 7 2" xfId="13247" xr:uid="{B9A14673-3EAE-4B5B-A725-BB57A695784D}"/>
    <cellStyle name="Normal 5 2 3 4 8" xfId="9029" xr:uid="{EE9AF017-A8CE-4DA2-A9E5-AC7AE5CB9AD2}"/>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101E535E-C149-458A-9473-DEBBC5DC41F3}"/>
    <cellStyle name="Normal 5 2 3 5 2 3" xfId="11580" xr:uid="{D543DA5B-DF3D-4D9B-9F3B-F6DF7452C9A4}"/>
    <cellStyle name="Normal 5 2 3 5 3" xfId="5211" xr:uid="{00000000-0005-0000-0000-0000C3180000}"/>
    <cellStyle name="Normal 5 2 3 5 3 2" xfId="13653" xr:uid="{4A202414-0F96-4F5A-9794-F8562971C8B2}"/>
    <cellStyle name="Normal 5 2 3 5 4" xfId="9435" xr:uid="{2889076A-48C9-4A31-9A31-23DA5CE56926}"/>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F2FF295C-F9A0-4C3C-AC83-4E169DFF1202}"/>
    <cellStyle name="Normal 5 2 3 6 2 3" xfId="11993" xr:uid="{5D719C85-BD8E-4316-A778-89F947F18F72}"/>
    <cellStyle name="Normal 5 2 3 6 3" xfId="5624" xr:uid="{00000000-0005-0000-0000-0000C7180000}"/>
    <cellStyle name="Normal 5 2 3 6 3 2" xfId="14066" xr:uid="{336F4274-9982-449B-B6C5-4FC59EF73100}"/>
    <cellStyle name="Normal 5 2 3 6 4" xfId="9848" xr:uid="{370F8C4F-B324-49BC-9617-AA1395D98918}"/>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8E88D7B8-93B1-483A-B3D5-67DA873D2BC5}"/>
    <cellStyle name="Normal 5 2 3 7 2 3" xfId="12406" xr:uid="{85658D09-0C9F-452A-90F0-DB730310C85D}"/>
    <cellStyle name="Normal 5 2 3 7 3" xfId="6037" xr:uid="{00000000-0005-0000-0000-0000CB180000}"/>
    <cellStyle name="Normal 5 2 3 7 3 2" xfId="14479" xr:uid="{492C3BBD-CC4D-4FA6-BF93-A864E695E511}"/>
    <cellStyle name="Normal 5 2 3 7 4" xfId="10261" xr:uid="{C04823D5-8D4E-4F35-BAF0-A62D3BB44DBC}"/>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D010A2BF-93EA-4C23-A156-C2E0B6193E24}"/>
    <cellStyle name="Normal 5 2 3 8 2 3" xfId="12819" xr:uid="{B7B9BB2D-4A71-42F2-83B5-7BE1F8056343}"/>
    <cellStyle name="Normal 5 2 3 8 3" xfId="6450" xr:uid="{00000000-0005-0000-0000-0000CF180000}"/>
    <cellStyle name="Normal 5 2 3 8 3 2" xfId="14892" xr:uid="{559F2CDF-3352-41BE-B2FD-E770639E3112}"/>
    <cellStyle name="Normal 5 2 3 8 4" xfId="10674" xr:uid="{CF828763-A330-4482-ADC0-B3CD2E444A2E}"/>
    <cellStyle name="Normal 5 2 3 9" xfId="2579" xr:uid="{00000000-0005-0000-0000-0000D0180000}"/>
    <cellStyle name="Normal 5 2 3 9 2" xfId="6863" xr:uid="{00000000-0005-0000-0000-0000D1180000}"/>
    <cellStyle name="Normal 5 2 3 9 2 2" xfId="15305" xr:uid="{F6D75E2B-E194-4E64-8BA8-D8A45010BBA2}"/>
    <cellStyle name="Normal 5 2 3 9 3" xfId="11087" xr:uid="{F4D40E41-B999-4C16-8CED-97A51A7D56E8}"/>
    <cellStyle name="Normal 5 2 4" xfId="432" xr:uid="{00000000-0005-0000-0000-0000D2180000}"/>
    <cellStyle name="Normal 5 2 4 10" xfId="9030" xr:uid="{8DD95287-1AAA-4E62-9DB5-7DF9D1C24BF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5572FB6E-6F38-4A27-9F9F-782A4EAF126F}"/>
    <cellStyle name="Normal 5 2 4 2 2 2 2 3" xfId="11590" xr:uid="{1D422C9F-4048-4677-869C-0F55E0E52F9C}"/>
    <cellStyle name="Normal 5 2 4 2 2 2 3" xfId="5221" xr:uid="{00000000-0005-0000-0000-0000D8180000}"/>
    <cellStyle name="Normal 5 2 4 2 2 2 3 2" xfId="13663" xr:uid="{BB5FC8BD-B014-4A4B-AB17-F288FE9DDE77}"/>
    <cellStyle name="Normal 5 2 4 2 2 2 4" xfId="9445" xr:uid="{33ACF2AE-C0ED-489C-B666-6907FABF97F5}"/>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D6C50ACE-9F6C-4019-8A32-1F17490E3425}"/>
    <cellStyle name="Normal 5 2 4 2 2 3 2 3" xfId="12003" xr:uid="{247E92D3-ED0B-4D6A-89D0-5BA41F839C1E}"/>
    <cellStyle name="Normal 5 2 4 2 2 3 3" xfId="5634" xr:uid="{00000000-0005-0000-0000-0000DC180000}"/>
    <cellStyle name="Normal 5 2 4 2 2 3 3 2" xfId="14076" xr:uid="{62614FCC-ADB3-4ACC-B6C3-2DC97FFDF1A0}"/>
    <cellStyle name="Normal 5 2 4 2 2 3 4" xfId="9858" xr:uid="{7639B60D-8416-46B9-A6A8-14631FD0433A}"/>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89FE3029-8CB9-496E-A8D1-765B97480DA0}"/>
    <cellStyle name="Normal 5 2 4 2 2 4 2 3" xfId="12416" xr:uid="{0FC219B7-1A32-4019-A8D0-538491B58944}"/>
    <cellStyle name="Normal 5 2 4 2 2 4 3" xfId="6047" xr:uid="{00000000-0005-0000-0000-0000E0180000}"/>
    <cellStyle name="Normal 5 2 4 2 2 4 3 2" xfId="14489" xr:uid="{58DAA87D-CAF6-4111-96EE-CA888CC87123}"/>
    <cellStyle name="Normal 5 2 4 2 2 4 4" xfId="10271" xr:uid="{18F8FADC-C5F4-4D6A-B95F-308CDB50D6E1}"/>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22415A1C-F7C5-4B6C-A4B8-EDFC94798F7B}"/>
    <cellStyle name="Normal 5 2 4 2 2 5 2 3" xfId="12829" xr:uid="{0FE29839-B5DB-4E63-BC5B-DA85623F4899}"/>
    <cellStyle name="Normal 5 2 4 2 2 5 3" xfId="6460" xr:uid="{00000000-0005-0000-0000-0000E4180000}"/>
    <cellStyle name="Normal 5 2 4 2 2 5 3 2" xfId="14902" xr:uid="{F8FB288E-E67D-4D06-B94B-079ABB9FA6A8}"/>
    <cellStyle name="Normal 5 2 4 2 2 5 4" xfId="10684" xr:uid="{6AD4FD6F-D8E4-4A9D-BF07-0A06DEDA64E9}"/>
    <cellStyle name="Normal 5 2 4 2 2 6" xfId="2589" xr:uid="{00000000-0005-0000-0000-0000E5180000}"/>
    <cellStyle name="Normal 5 2 4 2 2 6 2" xfId="6873" xr:uid="{00000000-0005-0000-0000-0000E6180000}"/>
    <cellStyle name="Normal 5 2 4 2 2 6 2 2" xfId="15315" xr:uid="{E0CC5446-92EE-4A34-AA60-83C22B0051AD}"/>
    <cellStyle name="Normal 5 2 4 2 2 6 3" xfId="11097" xr:uid="{772C61F7-DD4A-452C-ACE1-E5E55E6A2F68}"/>
    <cellStyle name="Normal 5 2 4 2 2 7" xfId="4808" xr:uid="{00000000-0005-0000-0000-0000E7180000}"/>
    <cellStyle name="Normal 5 2 4 2 2 7 2" xfId="13250" xr:uid="{5CAA9BCE-3139-4C75-B59D-CCC3BA145E27}"/>
    <cellStyle name="Normal 5 2 4 2 2 8" xfId="9032" xr:uid="{95E6FAE6-8254-4F0E-8828-15215729120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BE76905C-1F66-406A-B73C-3F8225258B8D}"/>
    <cellStyle name="Normal 5 2 4 2 3 2 3" xfId="11589" xr:uid="{41525797-1364-41BD-8705-9024183815E9}"/>
    <cellStyle name="Normal 5 2 4 2 3 3" xfId="5220" xr:uid="{00000000-0005-0000-0000-0000EB180000}"/>
    <cellStyle name="Normal 5 2 4 2 3 3 2" xfId="13662" xr:uid="{5DD54201-0507-43D2-BD5A-8DEF8506C78B}"/>
    <cellStyle name="Normal 5 2 4 2 3 4" xfId="9444" xr:uid="{F3DA009F-E79D-43F2-8545-271FDB01368A}"/>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357579DD-6E7D-4C58-9EDC-0DA26537882B}"/>
    <cellStyle name="Normal 5 2 4 2 4 2 3" xfId="12002" xr:uid="{025EB6A3-5D3C-4B34-B2B6-89F296DFDA76}"/>
    <cellStyle name="Normal 5 2 4 2 4 3" xfId="5633" xr:uid="{00000000-0005-0000-0000-0000EF180000}"/>
    <cellStyle name="Normal 5 2 4 2 4 3 2" xfId="14075" xr:uid="{53428C32-4A3E-4839-BD8C-475DBEBEA9B6}"/>
    <cellStyle name="Normal 5 2 4 2 4 4" xfId="9857" xr:uid="{E5F00CB0-8747-4551-9C33-BDEBA2759134}"/>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73118A79-ED7B-41D8-9238-8CA2F4933484}"/>
    <cellStyle name="Normal 5 2 4 2 5 2 3" xfId="12415" xr:uid="{28C12AB2-7022-427E-B14A-A3E667E8DD28}"/>
    <cellStyle name="Normal 5 2 4 2 5 3" xfId="6046" xr:uid="{00000000-0005-0000-0000-0000F3180000}"/>
    <cellStyle name="Normal 5 2 4 2 5 3 2" xfId="14488" xr:uid="{F220551E-C67A-4B9A-86E9-C2296BABF710}"/>
    <cellStyle name="Normal 5 2 4 2 5 4" xfId="10270" xr:uid="{D5C12096-565D-4C99-AFF5-A90A42B3393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A9315980-CA40-4934-B5E7-0FFEC709FA3E}"/>
    <cellStyle name="Normal 5 2 4 2 6 2 3" xfId="12828" xr:uid="{DDE39BCC-F067-4B3A-A8CC-554885AEA377}"/>
    <cellStyle name="Normal 5 2 4 2 6 3" xfId="6459" xr:uid="{00000000-0005-0000-0000-0000F7180000}"/>
    <cellStyle name="Normal 5 2 4 2 6 3 2" xfId="14901" xr:uid="{5ABC2C9E-D463-4650-9860-32F9B26BF6C4}"/>
    <cellStyle name="Normal 5 2 4 2 6 4" xfId="10683" xr:uid="{F4E94C11-2BAE-4D42-828C-B14A70409E18}"/>
    <cellStyle name="Normal 5 2 4 2 7" xfId="2588" xr:uid="{00000000-0005-0000-0000-0000F8180000}"/>
    <cellStyle name="Normal 5 2 4 2 7 2" xfId="6872" xr:uid="{00000000-0005-0000-0000-0000F9180000}"/>
    <cellStyle name="Normal 5 2 4 2 7 2 2" xfId="15314" xr:uid="{5E27DC10-4FD7-45A5-B5E7-5B6FACF19A21}"/>
    <cellStyle name="Normal 5 2 4 2 7 3" xfId="11096" xr:uid="{38F8E750-1773-4356-9784-47D19736CC2D}"/>
    <cellStyle name="Normal 5 2 4 2 8" xfId="4807" xr:uid="{00000000-0005-0000-0000-0000FA180000}"/>
    <cellStyle name="Normal 5 2 4 2 8 2" xfId="13249" xr:uid="{1C7120D1-35E2-413A-BE76-A9B8DE185057}"/>
    <cellStyle name="Normal 5 2 4 2 9" xfId="9031" xr:uid="{200DA0E2-4352-4889-AF0E-C7B2A7DFF79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3C1B4283-81AC-4C51-B394-938417E523D5}"/>
    <cellStyle name="Normal 5 2 4 3 2 2 3" xfId="11591" xr:uid="{DD9099EE-ADF5-4DCB-8049-D6326A0994BF}"/>
    <cellStyle name="Normal 5 2 4 3 2 3" xfId="5222" xr:uid="{00000000-0005-0000-0000-0000FF180000}"/>
    <cellStyle name="Normal 5 2 4 3 2 3 2" xfId="13664" xr:uid="{A7B05D85-D646-47CB-87AA-D4859497D668}"/>
    <cellStyle name="Normal 5 2 4 3 2 4" xfId="9446" xr:uid="{B94BBDBE-5C85-42F7-BEEA-BF5AF4BD7642}"/>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B0A95E27-E2B5-4AC1-9BC8-D7053680169A}"/>
    <cellStyle name="Normal 5 2 4 3 3 2 3" xfId="12004" xr:uid="{4352007B-9527-4D5D-9247-E93065D606C0}"/>
    <cellStyle name="Normal 5 2 4 3 3 3" xfId="5635" xr:uid="{00000000-0005-0000-0000-000003190000}"/>
    <cellStyle name="Normal 5 2 4 3 3 3 2" xfId="14077" xr:uid="{FEE5405E-AD21-4F59-A24E-16C525FA0581}"/>
    <cellStyle name="Normal 5 2 4 3 3 4" xfId="9859" xr:uid="{4A90BF01-EC8A-4142-8FD7-30CC2732F4A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3134943A-BBC9-4658-B9D2-7B93AA768E6D}"/>
    <cellStyle name="Normal 5 2 4 3 4 2 3" xfId="12417" xr:uid="{09BF61CE-3DC3-4E0E-9485-7584A1C76822}"/>
    <cellStyle name="Normal 5 2 4 3 4 3" xfId="6048" xr:uid="{00000000-0005-0000-0000-000007190000}"/>
    <cellStyle name="Normal 5 2 4 3 4 3 2" xfId="14490" xr:uid="{7AD448E7-4A3D-4DEC-A31B-D36A5723E4E8}"/>
    <cellStyle name="Normal 5 2 4 3 4 4" xfId="10272" xr:uid="{7371E192-4E69-4FFA-90AE-7C9C9105FAAD}"/>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E0D3E09-5B3E-49F2-905E-35D338D1C125}"/>
    <cellStyle name="Normal 5 2 4 3 5 2 3" xfId="12830" xr:uid="{1D1B70A0-C7F8-4618-A3D3-8B6766B0E97D}"/>
    <cellStyle name="Normal 5 2 4 3 5 3" xfId="6461" xr:uid="{00000000-0005-0000-0000-00000B190000}"/>
    <cellStyle name="Normal 5 2 4 3 5 3 2" xfId="14903" xr:uid="{6BD5F926-3960-49C8-9D87-1A769F149B60}"/>
    <cellStyle name="Normal 5 2 4 3 5 4" xfId="10685" xr:uid="{B4F13D1B-87B3-45C6-9991-6E4BE86628D1}"/>
    <cellStyle name="Normal 5 2 4 3 6" xfId="2590" xr:uid="{00000000-0005-0000-0000-00000C190000}"/>
    <cellStyle name="Normal 5 2 4 3 6 2" xfId="6874" xr:uid="{00000000-0005-0000-0000-00000D190000}"/>
    <cellStyle name="Normal 5 2 4 3 6 2 2" xfId="15316" xr:uid="{D3337A35-D705-4A96-8EA2-4EC92F1EA52F}"/>
    <cellStyle name="Normal 5 2 4 3 6 3" xfId="11098" xr:uid="{6715570F-340F-411F-A359-93040094156D}"/>
    <cellStyle name="Normal 5 2 4 3 7" xfId="4809" xr:uid="{00000000-0005-0000-0000-00000E190000}"/>
    <cellStyle name="Normal 5 2 4 3 7 2" xfId="13251" xr:uid="{75BDA257-8F64-4142-B295-E0F162412390}"/>
    <cellStyle name="Normal 5 2 4 3 8" xfId="9033" xr:uid="{A03F9CA9-8C85-47D9-ABBF-D3A7678BA241}"/>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20A81A13-4C2B-498B-8851-5577ADD75646}"/>
    <cellStyle name="Normal 5 2 4 4 2 3" xfId="11588" xr:uid="{9B53F37F-3167-4E32-BB75-12CB7AA9DD74}"/>
    <cellStyle name="Normal 5 2 4 4 3" xfId="5219" xr:uid="{00000000-0005-0000-0000-000012190000}"/>
    <cellStyle name="Normal 5 2 4 4 3 2" xfId="13661" xr:uid="{BD188564-8149-4E2D-B102-3E3F93C892BA}"/>
    <cellStyle name="Normal 5 2 4 4 4" xfId="9443" xr:uid="{0943341D-940C-46E2-A7DB-FBFCDD12E56B}"/>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5979211D-DE07-4E13-B5CB-B6890E15F807}"/>
    <cellStyle name="Normal 5 2 4 5 2 3" xfId="12001" xr:uid="{35E8DECD-A4F6-489A-B4A7-08726FD9654F}"/>
    <cellStyle name="Normal 5 2 4 5 3" xfId="5632" xr:uid="{00000000-0005-0000-0000-000016190000}"/>
    <cellStyle name="Normal 5 2 4 5 3 2" xfId="14074" xr:uid="{DE06086C-EFE4-4733-A684-2B4044605595}"/>
    <cellStyle name="Normal 5 2 4 5 4" xfId="9856" xr:uid="{BB33EEDC-D8B6-43D8-8D05-E6F4C5A5936F}"/>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D6CD1F2E-7358-41E1-A18F-F33F65CCF17D}"/>
    <cellStyle name="Normal 5 2 4 6 2 3" xfId="12414" xr:uid="{CEF4C67C-F438-48E8-85BC-BD3B8EEE32DA}"/>
    <cellStyle name="Normal 5 2 4 6 3" xfId="6045" xr:uid="{00000000-0005-0000-0000-00001A190000}"/>
    <cellStyle name="Normal 5 2 4 6 3 2" xfId="14487" xr:uid="{467BF0DE-2203-427E-87BE-33605ACF11BA}"/>
    <cellStyle name="Normal 5 2 4 6 4" xfId="10269" xr:uid="{9CE503CA-D6FB-4D0D-99B5-FBF1214BF53F}"/>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2910E2FC-5567-456D-846D-B023B9F7F232}"/>
    <cellStyle name="Normal 5 2 4 7 2 3" xfId="12827" xr:uid="{65496F8F-898A-4D0C-BDA1-E1EFBDE0E31E}"/>
    <cellStyle name="Normal 5 2 4 7 3" xfId="6458" xr:uid="{00000000-0005-0000-0000-00001E190000}"/>
    <cellStyle name="Normal 5 2 4 7 3 2" xfId="14900" xr:uid="{2C811FB8-D216-41A2-8AAB-7F23B6F87719}"/>
    <cellStyle name="Normal 5 2 4 7 4" xfId="10682" xr:uid="{B0D150B4-33A6-465C-9898-BF51F6627683}"/>
    <cellStyle name="Normal 5 2 4 8" xfId="2587" xr:uid="{00000000-0005-0000-0000-00001F190000}"/>
    <cellStyle name="Normal 5 2 4 8 2" xfId="6871" xr:uid="{00000000-0005-0000-0000-000020190000}"/>
    <cellStyle name="Normal 5 2 4 8 2 2" xfId="15313" xr:uid="{F00B8A14-1442-49D8-B00B-F599E99C70F8}"/>
    <cellStyle name="Normal 5 2 4 8 3" xfId="11095" xr:uid="{3CFDB75E-76D7-4AEB-A88D-F785BEAA421A}"/>
    <cellStyle name="Normal 5 2 4 9" xfId="4806" xr:uid="{00000000-0005-0000-0000-000021190000}"/>
    <cellStyle name="Normal 5 2 4 9 2" xfId="13248" xr:uid="{072C4571-50CF-4E70-9E1F-6B7BEFAD7C45}"/>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E9B9A71B-CE1B-42EF-8653-E9088DB82804}"/>
    <cellStyle name="Normal 5 2 5 2 2 2 3" xfId="11593" xr:uid="{7EE35CC1-6403-48B2-8117-DA474E023699}"/>
    <cellStyle name="Normal 5 2 5 2 2 3" xfId="5224" xr:uid="{00000000-0005-0000-0000-000027190000}"/>
    <cellStyle name="Normal 5 2 5 2 2 3 2" xfId="13666" xr:uid="{C87BBE30-C775-4D66-B5B2-87C34D3FA9B5}"/>
    <cellStyle name="Normal 5 2 5 2 2 4" xfId="9448" xr:uid="{29264C6A-A538-43EB-8FC3-70BBB50D18D7}"/>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F649C300-24E4-4251-BF1A-E784C3CE9BD1}"/>
    <cellStyle name="Normal 5 2 5 2 3 2 3" xfId="12006" xr:uid="{2F52D3D1-4F88-4BD7-B360-34C5C310D38D}"/>
    <cellStyle name="Normal 5 2 5 2 3 3" xfId="5637" xr:uid="{00000000-0005-0000-0000-00002B190000}"/>
    <cellStyle name="Normal 5 2 5 2 3 3 2" xfId="14079" xr:uid="{B08725FB-704B-4D4C-BAA3-6B565DF439A2}"/>
    <cellStyle name="Normal 5 2 5 2 3 4" xfId="9861" xr:uid="{9B546857-4542-4793-9517-6170D2426E2B}"/>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73C7AAA1-19BC-4310-87F5-E163660C0536}"/>
    <cellStyle name="Normal 5 2 5 2 4 2 3" xfId="12419" xr:uid="{27FE722A-E6D7-4FD0-B536-0FD60844B932}"/>
    <cellStyle name="Normal 5 2 5 2 4 3" xfId="6050" xr:uid="{00000000-0005-0000-0000-00002F190000}"/>
    <cellStyle name="Normal 5 2 5 2 4 3 2" xfId="14492" xr:uid="{A80E66B8-7DFF-4C4E-9B90-AC2F8AA23544}"/>
    <cellStyle name="Normal 5 2 5 2 4 4" xfId="10274" xr:uid="{1974B09A-D781-44BD-AC23-AF97D03A3B77}"/>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82B173B3-6C0C-4FE0-9082-5D63E5BF1476}"/>
    <cellStyle name="Normal 5 2 5 2 5 2 3" xfId="12832" xr:uid="{D440386A-C11D-4EE5-8276-4349D3BF5BAF}"/>
    <cellStyle name="Normal 5 2 5 2 5 3" xfId="6463" xr:uid="{00000000-0005-0000-0000-000033190000}"/>
    <cellStyle name="Normal 5 2 5 2 5 3 2" xfId="14905" xr:uid="{BF300FCA-2FF6-4963-9131-930EBEB1CF74}"/>
    <cellStyle name="Normal 5 2 5 2 5 4" xfId="10687" xr:uid="{D514958B-9098-46B3-A5D9-56CD4492C17D}"/>
    <cellStyle name="Normal 5 2 5 2 6" xfId="2592" xr:uid="{00000000-0005-0000-0000-000034190000}"/>
    <cellStyle name="Normal 5 2 5 2 6 2" xfId="6876" xr:uid="{00000000-0005-0000-0000-000035190000}"/>
    <cellStyle name="Normal 5 2 5 2 6 2 2" xfId="15318" xr:uid="{6F9F2A75-EAE2-4FF5-9F36-77AC22C19571}"/>
    <cellStyle name="Normal 5 2 5 2 6 3" xfId="11100" xr:uid="{6CB07A5D-DB30-4E34-A382-5DF5A48F873F}"/>
    <cellStyle name="Normal 5 2 5 2 7" xfId="4811" xr:uid="{00000000-0005-0000-0000-000036190000}"/>
    <cellStyle name="Normal 5 2 5 2 7 2" xfId="13253" xr:uid="{1BB0BD52-731F-4034-87C8-2B2923F1EFA8}"/>
    <cellStyle name="Normal 5 2 5 2 8" xfId="9035" xr:uid="{FA7E80E2-5560-4814-B276-1DDEC7020784}"/>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D9CFA0F0-DC1E-4F4D-975A-EDAEEA731F1B}"/>
    <cellStyle name="Normal 5 2 5 3 2 3" xfId="11592" xr:uid="{6D7E28AC-2049-4A91-A5C9-6B2CCA698CAB}"/>
    <cellStyle name="Normal 5 2 5 3 3" xfId="5223" xr:uid="{00000000-0005-0000-0000-00003A190000}"/>
    <cellStyle name="Normal 5 2 5 3 3 2" xfId="13665" xr:uid="{76FDD28C-DA7C-4A0A-AAB2-3FA884B3E9B1}"/>
    <cellStyle name="Normal 5 2 5 3 4" xfId="9447" xr:uid="{B65D7165-2832-4799-A7EF-9A16F9E8F758}"/>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E872C5B1-AE2F-4F79-9D47-DFF5C310AB5F}"/>
    <cellStyle name="Normal 5 2 5 4 2 3" xfId="12005" xr:uid="{8334F412-F395-4A61-AD70-C015211F7BC3}"/>
    <cellStyle name="Normal 5 2 5 4 3" xfId="5636" xr:uid="{00000000-0005-0000-0000-00003E190000}"/>
    <cellStyle name="Normal 5 2 5 4 3 2" xfId="14078" xr:uid="{D9CFB52D-D0D7-485A-BB67-60157CCE665B}"/>
    <cellStyle name="Normal 5 2 5 4 4" xfId="9860" xr:uid="{77BA85D8-FDE8-4CBC-8F46-625C57D4DD1B}"/>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AB930F4A-6FE6-4ECC-9B82-5E2790670674}"/>
    <cellStyle name="Normal 5 2 5 5 2 3" xfId="12418" xr:uid="{AA686530-EC17-4DED-872E-0F13CC510BB8}"/>
    <cellStyle name="Normal 5 2 5 5 3" xfId="6049" xr:uid="{00000000-0005-0000-0000-000042190000}"/>
    <cellStyle name="Normal 5 2 5 5 3 2" xfId="14491" xr:uid="{1A3ED402-4668-444E-B0A0-AF2B6CE586BE}"/>
    <cellStyle name="Normal 5 2 5 5 4" xfId="10273" xr:uid="{AEE80CB9-936C-43F1-81C7-A6D2885FEBE3}"/>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0B055A49-94D6-47AD-B9EB-C55B083BE572}"/>
    <cellStyle name="Normal 5 2 5 6 2 3" xfId="12831" xr:uid="{FBFB1DE3-840D-4D2B-8A8B-F76EC61133A5}"/>
    <cellStyle name="Normal 5 2 5 6 3" xfId="6462" xr:uid="{00000000-0005-0000-0000-000046190000}"/>
    <cellStyle name="Normal 5 2 5 6 3 2" xfId="14904" xr:uid="{45C43263-B1D0-42C8-B0CA-1811F4703F39}"/>
    <cellStyle name="Normal 5 2 5 6 4" xfId="10686" xr:uid="{605A840F-1933-40DF-AC41-6745BD912049}"/>
    <cellStyle name="Normal 5 2 5 7" xfId="2591" xr:uid="{00000000-0005-0000-0000-000047190000}"/>
    <cellStyle name="Normal 5 2 5 7 2" xfId="6875" xr:uid="{00000000-0005-0000-0000-000048190000}"/>
    <cellStyle name="Normal 5 2 5 7 2 2" xfId="15317" xr:uid="{76ACF314-19A2-4336-96BA-9495FFA29AD9}"/>
    <cellStyle name="Normal 5 2 5 7 3" xfId="11099" xr:uid="{505977F2-6AFF-4558-A7CC-9AB49F8B7585}"/>
    <cellStyle name="Normal 5 2 5 8" xfId="4810" xr:uid="{00000000-0005-0000-0000-000049190000}"/>
    <cellStyle name="Normal 5 2 5 8 2" xfId="13252" xr:uid="{7510165D-85C6-4659-9E57-644296DD90AA}"/>
    <cellStyle name="Normal 5 2 5 9" xfId="9034" xr:uid="{CEA53439-F086-4C58-9A6B-3A15F39F7A11}"/>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0B6682D5-E682-4A6D-A08E-5B8D3C9A6174}"/>
    <cellStyle name="Normal 5 2 6 2 2 3" xfId="11594" xr:uid="{7491C914-AFE3-4F46-A47A-E2E331010350}"/>
    <cellStyle name="Normal 5 2 6 2 3" xfId="5225" xr:uid="{00000000-0005-0000-0000-00004E190000}"/>
    <cellStyle name="Normal 5 2 6 2 3 2" xfId="13667" xr:uid="{2F8F3953-43DF-4CAC-BD81-ED94970B5267}"/>
    <cellStyle name="Normal 5 2 6 2 4" xfId="9449" xr:uid="{BC35A7ED-7EFA-453B-B930-B5B5AEA821C7}"/>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AB0D6B96-83A4-43F5-BA8C-7E7020EE605B}"/>
    <cellStyle name="Normal 5 2 6 3 2 3" xfId="12007" xr:uid="{B9767522-7F7A-4791-A5AD-916A9034F007}"/>
    <cellStyle name="Normal 5 2 6 3 3" xfId="5638" xr:uid="{00000000-0005-0000-0000-000052190000}"/>
    <cellStyle name="Normal 5 2 6 3 3 2" xfId="14080" xr:uid="{D1491519-9972-402E-BD47-7C5F5F705AD4}"/>
    <cellStyle name="Normal 5 2 6 3 4" xfId="9862" xr:uid="{F4A72FFA-5849-4163-8BE4-721DE1BFF5C3}"/>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25C4B29E-E4E6-4549-970F-A26BF5CA83DD}"/>
    <cellStyle name="Normal 5 2 6 4 2 3" xfId="12420" xr:uid="{4576F0EA-C712-4807-BC36-B428AD8953F2}"/>
    <cellStyle name="Normal 5 2 6 4 3" xfId="6051" xr:uid="{00000000-0005-0000-0000-000056190000}"/>
    <cellStyle name="Normal 5 2 6 4 3 2" xfId="14493" xr:uid="{37EEC086-5BE9-4066-96FF-F94DCC2B011F}"/>
    <cellStyle name="Normal 5 2 6 4 4" xfId="10275" xr:uid="{EB85099A-EAA0-4C1E-98B5-8FB49BF08EF0}"/>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3380AEC8-E3A1-4139-9733-74926DB09161}"/>
    <cellStyle name="Normal 5 2 6 5 2 3" xfId="12833" xr:uid="{BB975AEB-341E-4FC1-A0E6-2E5CD6083338}"/>
    <cellStyle name="Normal 5 2 6 5 3" xfId="6464" xr:uid="{00000000-0005-0000-0000-00005A190000}"/>
    <cellStyle name="Normal 5 2 6 5 3 2" xfId="14906" xr:uid="{E21C6904-936F-4143-98C1-CDC2CFD37AB4}"/>
    <cellStyle name="Normal 5 2 6 5 4" xfId="10688" xr:uid="{6AF939AF-8989-4FA2-A634-93842760BA1B}"/>
    <cellStyle name="Normal 5 2 6 6" xfId="2593" xr:uid="{00000000-0005-0000-0000-00005B190000}"/>
    <cellStyle name="Normal 5 2 6 6 2" xfId="6877" xr:uid="{00000000-0005-0000-0000-00005C190000}"/>
    <cellStyle name="Normal 5 2 6 6 2 2" xfId="15319" xr:uid="{8486309F-5EBB-4FF1-A7E2-84DA7FB49246}"/>
    <cellStyle name="Normal 5 2 6 6 3" xfId="11101" xr:uid="{A981598F-15E6-40C0-95B0-820FE4F77B20}"/>
    <cellStyle name="Normal 5 2 6 7" xfId="4812" xr:uid="{00000000-0005-0000-0000-00005D190000}"/>
    <cellStyle name="Normal 5 2 6 7 2" xfId="13254" xr:uid="{DCFB4560-462C-4AB1-9F50-9611C93C6996}"/>
    <cellStyle name="Normal 5 2 6 8" xfId="9036" xr:uid="{DD0EDA72-427A-4838-8C3C-62F3B75C0313}"/>
    <cellStyle name="Normal 5 2 7" xfId="881" xr:uid="{00000000-0005-0000-0000-00005E190000}"/>
    <cellStyle name="Normal 5 2 7 2" xfId="3116" xr:uid="{00000000-0005-0000-0000-00005F190000}"/>
    <cellStyle name="Normal 5 2 7 2 2" xfId="7339" xr:uid="{00000000-0005-0000-0000-000060190000}"/>
    <cellStyle name="Normal 5 2 7 2 2 2" xfId="15781" xr:uid="{B4840D4B-5DCC-46AC-956E-1B0D93AABBFF}"/>
    <cellStyle name="Normal 5 2 7 2 3" xfId="11563" xr:uid="{2D794357-24A4-4EC2-A266-48F1D62E579B}"/>
    <cellStyle name="Normal 5 2 7 3" xfId="5194" xr:uid="{00000000-0005-0000-0000-000061190000}"/>
    <cellStyle name="Normal 5 2 7 3 2" xfId="13636" xr:uid="{8A0212E0-64FF-4113-B017-11A56E038D70}"/>
    <cellStyle name="Normal 5 2 7 4" xfId="9418" xr:uid="{7AD63059-55AC-4788-82D2-A282B5F8F173}"/>
    <cellStyle name="Normal 5 2 8" xfId="1299" xr:uid="{00000000-0005-0000-0000-000062190000}"/>
    <cellStyle name="Normal 5 2 8 2" xfId="3529" xr:uid="{00000000-0005-0000-0000-000063190000}"/>
    <cellStyle name="Normal 5 2 8 2 2" xfId="7752" xr:uid="{00000000-0005-0000-0000-000064190000}"/>
    <cellStyle name="Normal 5 2 8 2 2 2" xfId="16194" xr:uid="{C095526B-4D1D-44E8-A576-8F66B66E70DE}"/>
    <cellStyle name="Normal 5 2 8 2 3" xfId="11976" xr:uid="{19A168A7-4D3A-4258-A0B4-48B80C652E8D}"/>
    <cellStyle name="Normal 5 2 8 3" xfId="5607" xr:uid="{00000000-0005-0000-0000-000065190000}"/>
    <cellStyle name="Normal 5 2 8 3 2" xfId="14049" xr:uid="{52F1C022-010A-411D-B460-E6AECD518446}"/>
    <cellStyle name="Normal 5 2 8 4" xfId="9831" xr:uid="{ABD6531A-35E6-41B7-9CE7-B1D80625B266}"/>
    <cellStyle name="Normal 5 2 9" xfId="1712" xr:uid="{00000000-0005-0000-0000-000066190000}"/>
    <cellStyle name="Normal 5 2 9 2" xfId="3942" xr:uid="{00000000-0005-0000-0000-000067190000}"/>
    <cellStyle name="Normal 5 2 9 2 2" xfId="8165" xr:uid="{00000000-0005-0000-0000-000068190000}"/>
    <cellStyle name="Normal 5 2 9 2 2 2" xfId="16607" xr:uid="{495B2F26-E8A8-498F-9B82-0B9C6696D7BE}"/>
    <cellStyle name="Normal 5 2 9 2 3" xfId="12389" xr:uid="{C4B47EC3-87A4-497B-8F9A-1D44C398915B}"/>
    <cellStyle name="Normal 5 2 9 3" xfId="6020" xr:uid="{00000000-0005-0000-0000-000069190000}"/>
    <cellStyle name="Normal 5 2 9 3 2" xfId="14462" xr:uid="{8A5BEA72-884F-4C90-BE64-7256F6D244E7}"/>
    <cellStyle name="Normal 5 2 9 4" xfId="10244" xr:uid="{AB4C9F52-EB66-4AE0-A066-B8E2BA5AD861}"/>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B14E0EA4-345E-407E-A4F6-648002B3C0A2}"/>
    <cellStyle name="Normal 5 3 10 2 3" xfId="12834" xr:uid="{8EBF560A-D6F5-4A83-9846-515F88DFD162}"/>
    <cellStyle name="Normal 5 3 10 3" xfId="6465" xr:uid="{00000000-0005-0000-0000-00006E190000}"/>
    <cellStyle name="Normal 5 3 10 3 2" xfId="14907" xr:uid="{8635AFE7-4A51-4823-9D1E-C05C690D1FAF}"/>
    <cellStyle name="Normal 5 3 10 4" xfId="10689" xr:uid="{94005460-D35C-4AD8-9D5B-6B907BE46985}"/>
    <cellStyle name="Normal 5 3 11" xfId="2594" xr:uid="{00000000-0005-0000-0000-00006F190000}"/>
    <cellStyle name="Normal 5 3 11 2" xfId="6878" xr:uid="{00000000-0005-0000-0000-000070190000}"/>
    <cellStyle name="Normal 5 3 11 2 2" xfId="15320" xr:uid="{BA19904C-5A4B-430E-ABAD-D31FBAAB2BF3}"/>
    <cellStyle name="Normal 5 3 11 3" xfId="11102" xr:uid="{AC768B3E-44B0-4DB5-82D9-3466BEA46154}"/>
    <cellStyle name="Normal 5 3 12" xfId="4813" xr:uid="{00000000-0005-0000-0000-000071190000}"/>
    <cellStyle name="Normal 5 3 12 2" xfId="13255" xr:uid="{6554ADD5-1210-4FD7-8B92-A5CB92C3C0C8}"/>
    <cellStyle name="Normal 5 3 13" xfId="9037" xr:uid="{29B0F218-6C94-4ABA-BACB-790C8797C47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109031D7-C5B7-4DEF-A6CC-D594A39A8727}"/>
    <cellStyle name="Normal 5 3 3 11" xfId="9038" xr:uid="{EFB1C7E0-B896-42C1-BDCB-A29853462A6B}"/>
    <cellStyle name="Normal 5 3 3 2" xfId="442" xr:uid="{00000000-0005-0000-0000-000076190000}"/>
    <cellStyle name="Normal 5 3 3 2 10" xfId="9039" xr:uid="{776BF033-8126-4820-A649-E6FF8D3903FE}"/>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D0CD1758-FDE7-4589-8A4C-DD56F91D0802}"/>
    <cellStyle name="Normal 5 3 3 2 2 2 2 2 3" xfId="11599" xr:uid="{B68A3C1C-4AFA-46E0-B9C3-33C418DF95E3}"/>
    <cellStyle name="Normal 5 3 3 2 2 2 2 3" xfId="5230" xr:uid="{00000000-0005-0000-0000-00007C190000}"/>
    <cellStyle name="Normal 5 3 3 2 2 2 2 3 2" xfId="13672" xr:uid="{FFBCB23D-1197-4E5C-96EE-BB07CEA42B6C}"/>
    <cellStyle name="Normal 5 3 3 2 2 2 2 4" xfId="9454" xr:uid="{B5D2B7D3-FB53-4AAA-9A1F-9BAF9CF3089C}"/>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875E7926-667D-4799-8BAE-D0793315DCD8}"/>
    <cellStyle name="Normal 5 3 3 2 2 2 3 2 3" xfId="12012" xr:uid="{7B8B733D-A9A7-430F-944B-CF71DD445A24}"/>
    <cellStyle name="Normal 5 3 3 2 2 2 3 3" xfId="5643" xr:uid="{00000000-0005-0000-0000-000080190000}"/>
    <cellStyle name="Normal 5 3 3 2 2 2 3 3 2" xfId="14085" xr:uid="{1765DC12-A4DA-4BD8-89C9-1624A48DAD6D}"/>
    <cellStyle name="Normal 5 3 3 2 2 2 3 4" xfId="9867" xr:uid="{2BE2EB24-2CCC-4403-8161-AC31F1021489}"/>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FB3888EC-C6BB-4F10-B3A0-EFFBE8136722}"/>
    <cellStyle name="Normal 5 3 3 2 2 2 4 2 3" xfId="12425" xr:uid="{A5597430-EE24-454B-8B6A-3D0DCB8635B6}"/>
    <cellStyle name="Normal 5 3 3 2 2 2 4 3" xfId="6056" xr:uid="{00000000-0005-0000-0000-000084190000}"/>
    <cellStyle name="Normal 5 3 3 2 2 2 4 3 2" xfId="14498" xr:uid="{46C6F07F-5F27-4D4B-99E1-B265902F6375}"/>
    <cellStyle name="Normal 5 3 3 2 2 2 4 4" xfId="10280" xr:uid="{C585E26E-D8D8-4752-91D5-5240F1490956}"/>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EF0B9994-177D-47DB-9D27-F2E67DEA5B34}"/>
    <cellStyle name="Normal 5 3 3 2 2 2 5 2 3" xfId="12838" xr:uid="{044F66CC-A57B-4C0D-8C38-AE400049AD36}"/>
    <cellStyle name="Normal 5 3 3 2 2 2 5 3" xfId="6469" xr:uid="{00000000-0005-0000-0000-000088190000}"/>
    <cellStyle name="Normal 5 3 3 2 2 2 5 3 2" xfId="14911" xr:uid="{44BE6347-EDBC-4273-BF48-8BC7417508EB}"/>
    <cellStyle name="Normal 5 3 3 2 2 2 5 4" xfId="10693" xr:uid="{B6DBBFD9-7333-4A39-AD59-C1D29631FA10}"/>
    <cellStyle name="Normal 5 3 3 2 2 2 6" xfId="2598" xr:uid="{00000000-0005-0000-0000-000089190000}"/>
    <cellStyle name="Normal 5 3 3 2 2 2 6 2" xfId="6882" xr:uid="{00000000-0005-0000-0000-00008A190000}"/>
    <cellStyle name="Normal 5 3 3 2 2 2 6 2 2" xfId="15324" xr:uid="{FFF287ED-831E-4126-AE93-620D07471F54}"/>
    <cellStyle name="Normal 5 3 3 2 2 2 6 3" xfId="11106" xr:uid="{97808A5D-3F85-4A99-8DD2-D4971EE13393}"/>
    <cellStyle name="Normal 5 3 3 2 2 2 7" xfId="4817" xr:uid="{00000000-0005-0000-0000-00008B190000}"/>
    <cellStyle name="Normal 5 3 3 2 2 2 7 2" xfId="13259" xr:uid="{EB3277BE-1602-4CDA-B30F-191BCCAEBC9D}"/>
    <cellStyle name="Normal 5 3 3 2 2 2 8" xfId="9041" xr:uid="{E135F675-3EB6-4E79-8A83-F7594511DA4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600773D0-2D86-42D1-A392-F1E315B1FC2F}"/>
    <cellStyle name="Normal 5 3 3 2 2 3 2 3" xfId="11598" xr:uid="{ADF74D8B-0E96-4521-8499-3118481CE951}"/>
    <cellStyle name="Normal 5 3 3 2 2 3 3" xfId="5229" xr:uid="{00000000-0005-0000-0000-00008F190000}"/>
    <cellStyle name="Normal 5 3 3 2 2 3 3 2" xfId="13671" xr:uid="{6E609D06-08A4-46B8-B31E-6B3BB2D1CF77}"/>
    <cellStyle name="Normal 5 3 3 2 2 3 4" xfId="9453" xr:uid="{5F9CC335-EB70-4872-BE65-FA7E5889168F}"/>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3443D7B6-4ECF-49E3-8717-9FCAE8498AC1}"/>
    <cellStyle name="Normal 5 3 3 2 2 4 2 3" xfId="12011" xr:uid="{C17DEF13-FD81-41BE-82F0-B46830F3D57E}"/>
    <cellStyle name="Normal 5 3 3 2 2 4 3" xfId="5642" xr:uid="{00000000-0005-0000-0000-000093190000}"/>
    <cellStyle name="Normal 5 3 3 2 2 4 3 2" xfId="14084" xr:uid="{A0BD0410-BF1D-42B9-B0FC-1E9C21E04BCE}"/>
    <cellStyle name="Normal 5 3 3 2 2 4 4" xfId="9866" xr:uid="{E817FDCC-5B8D-4660-A736-261B993FDF2E}"/>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0FDE87AF-F102-40C9-980E-395691CA623B}"/>
    <cellStyle name="Normal 5 3 3 2 2 5 2 3" xfId="12424" xr:uid="{DD5C0C1F-AA85-410B-94BA-63C273D9FE2A}"/>
    <cellStyle name="Normal 5 3 3 2 2 5 3" xfId="6055" xr:uid="{00000000-0005-0000-0000-000097190000}"/>
    <cellStyle name="Normal 5 3 3 2 2 5 3 2" xfId="14497" xr:uid="{B939B651-80ED-4BEF-B62A-ED29BAE44AED}"/>
    <cellStyle name="Normal 5 3 3 2 2 5 4" xfId="10279" xr:uid="{59ADF319-B207-423C-8FC9-65F8CA527C19}"/>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9E256DA4-9789-4F5B-ABFC-84809D005F63}"/>
    <cellStyle name="Normal 5 3 3 2 2 6 2 3" xfId="12837" xr:uid="{070ED675-0219-4955-8C22-99F26F3286CF}"/>
    <cellStyle name="Normal 5 3 3 2 2 6 3" xfId="6468" xr:uid="{00000000-0005-0000-0000-00009B190000}"/>
    <cellStyle name="Normal 5 3 3 2 2 6 3 2" xfId="14910" xr:uid="{51B5FAC1-40B0-4387-AE14-79F24EE6C50C}"/>
    <cellStyle name="Normal 5 3 3 2 2 6 4" xfId="10692" xr:uid="{36F969BC-3E63-4203-A0DA-3D4126B44DD4}"/>
    <cellStyle name="Normal 5 3 3 2 2 7" xfId="2597" xr:uid="{00000000-0005-0000-0000-00009C190000}"/>
    <cellStyle name="Normal 5 3 3 2 2 7 2" xfId="6881" xr:uid="{00000000-0005-0000-0000-00009D190000}"/>
    <cellStyle name="Normal 5 3 3 2 2 7 2 2" xfId="15323" xr:uid="{E5B6CCA3-A25D-4E10-AD30-8D0AA7C01B80}"/>
    <cellStyle name="Normal 5 3 3 2 2 7 3" xfId="11105" xr:uid="{A4BD8442-157B-4CB9-AA84-76FAEEF969A9}"/>
    <cellStyle name="Normal 5 3 3 2 2 8" xfId="4816" xr:uid="{00000000-0005-0000-0000-00009E190000}"/>
    <cellStyle name="Normal 5 3 3 2 2 8 2" xfId="13258" xr:uid="{8ECD374A-B161-45A1-9694-525B7400D2DB}"/>
    <cellStyle name="Normal 5 3 3 2 2 9" xfId="9040" xr:uid="{F55BC97B-9D06-480B-803A-C7EEBA0CCB0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D8AD03B8-1734-4113-8ABA-EB8B06F6FC16}"/>
    <cellStyle name="Normal 5 3 3 2 3 2 2 3" xfId="11600" xr:uid="{A78C044B-7AA6-4D70-B6F0-3CEF2AD1BB75}"/>
    <cellStyle name="Normal 5 3 3 2 3 2 3" xfId="5231" xr:uid="{00000000-0005-0000-0000-0000A3190000}"/>
    <cellStyle name="Normal 5 3 3 2 3 2 3 2" xfId="13673" xr:uid="{B0C565A0-F4BD-4A1D-B770-B3AF6677C5CD}"/>
    <cellStyle name="Normal 5 3 3 2 3 2 4" xfId="9455" xr:uid="{AD2ED39E-9A40-4534-9696-BDA17E14E445}"/>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AA4D5296-5B31-4705-B1D3-01C97CC75EA9}"/>
    <cellStyle name="Normal 5 3 3 2 3 3 2 3" xfId="12013" xr:uid="{1C2A771B-4C05-4A24-A280-2510C3373EDD}"/>
    <cellStyle name="Normal 5 3 3 2 3 3 3" xfId="5644" xr:uid="{00000000-0005-0000-0000-0000A7190000}"/>
    <cellStyle name="Normal 5 3 3 2 3 3 3 2" xfId="14086" xr:uid="{28B016AB-52B0-4F25-98D6-697FD66A43A0}"/>
    <cellStyle name="Normal 5 3 3 2 3 3 4" xfId="9868" xr:uid="{514CC4E7-EE76-422A-960F-4E2D28C3289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7C206D37-25C7-4930-A027-411F9B71DCE3}"/>
    <cellStyle name="Normal 5 3 3 2 3 4 2 3" xfId="12426" xr:uid="{C35C5422-A8C2-4D5E-A47B-5FEBFC5AF916}"/>
    <cellStyle name="Normal 5 3 3 2 3 4 3" xfId="6057" xr:uid="{00000000-0005-0000-0000-0000AB190000}"/>
    <cellStyle name="Normal 5 3 3 2 3 4 3 2" xfId="14499" xr:uid="{05708A9C-699D-4A77-9E8E-546A476F5616}"/>
    <cellStyle name="Normal 5 3 3 2 3 4 4" xfId="10281" xr:uid="{98A866E1-54E9-46FA-80A1-7608840A4382}"/>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B9543BDF-41EA-481C-AE42-76427D19436B}"/>
    <cellStyle name="Normal 5 3 3 2 3 5 2 3" xfId="12839" xr:uid="{1C9F0FE1-8A0D-4CA6-8F68-1728DCD54D7C}"/>
    <cellStyle name="Normal 5 3 3 2 3 5 3" xfId="6470" xr:uid="{00000000-0005-0000-0000-0000AF190000}"/>
    <cellStyle name="Normal 5 3 3 2 3 5 3 2" xfId="14912" xr:uid="{0F80D3AD-00CC-4622-A28F-977E652408A7}"/>
    <cellStyle name="Normal 5 3 3 2 3 5 4" xfId="10694" xr:uid="{16521BDB-AFC4-4C58-AD72-101A50ACB322}"/>
    <cellStyle name="Normal 5 3 3 2 3 6" xfId="2599" xr:uid="{00000000-0005-0000-0000-0000B0190000}"/>
    <cellStyle name="Normal 5 3 3 2 3 6 2" xfId="6883" xr:uid="{00000000-0005-0000-0000-0000B1190000}"/>
    <cellStyle name="Normal 5 3 3 2 3 6 2 2" xfId="15325" xr:uid="{FD07D184-9AB6-4CCC-829C-179A233CFABE}"/>
    <cellStyle name="Normal 5 3 3 2 3 6 3" xfId="11107" xr:uid="{9C98EE18-D3EB-4EEA-BAD0-A1028E0B25B5}"/>
    <cellStyle name="Normal 5 3 3 2 3 7" xfId="4818" xr:uid="{00000000-0005-0000-0000-0000B2190000}"/>
    <cellStyle name="Normal 5 3 3 2 3 7 2" xfId="13260" xr:uid="{DC8A792E-64BE-4FB5-BE64-4DBCAB22BFE7}"/>
    <cellStyle name="Normal 5 3 3 2 3 8" xfId="9042" xr:uid="{526E6FF8-3C4C-4A5C-87F5-BD8426930C8E}"/>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810FA156-C923-4BD9-8231-2A89E67FBC95}"/>
    <cellStyle name="Normal 5 3 3 2 4 2 3" xfId="11597" xr:uid="{4EA826F8-5011-4336-A4A4-6CFC62C16FCF}"/>
    <cellStyle name="Normal 5 3 3 2 4 3" xfId="5228" xr:uid="{00000000-0005-0000-0000-0000B6190000}"/>
    <cellStyle name="Normal 5 3 3 2 4 3 2" xfId="13670" xr:uid="{DE7B5987-699E-46AA-9E73-A0E03E209EE8}"/>
    <cellStyle name="Normal 5 3 3 2 4 4" xfId="9452" xr:uid="{C8AB0EC6-8C57-44D0-B33A-CCD094C0A6D3}"/>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CB7673D6-AB51-437C-B3A5-FC5A4295DA06}"/>
    <cellStyle name="Normal 5 3 3 2 5 2 3" xfId="12010" xr:uid="{27E85E7B-8076-47BB-A918-4C2362E54CE5}"/>
    <cellStyle name="Normal 5 3 3 2 5 3" xfId="5641" xr:uid="{00000000-0005-0000-0000-0000BA190000}"/>
    <cellStyle name="Normal 5 3 3 2 5 3 2" xfId="14083" xr:uid="{60A2D111-BC78-48C7-9E60-DD88692A47B8}"/>
    <cellStyle name="Normal 5 3 3 2 5 4" xfId="9865" xr:uid="{1A3F399F-FD2F-4AF8-B581-492668510E1A}"/>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E2DF9535-9527-489B-A60A-9B3C5CC6AF7E}"/>
    <cellStyle name="Normal 5 3 3 2 6 2 3" xfId="12423" xr:uid="{5D624A82-1B63-487F-A4D4-34632E5EAAE2}"/>
    <cellStyle name="Normal 5 3 3 2 6 3" xfId="6054" xr:uid="{00000000-0005-0000-0000-0000BE190000}"/>
    <cellStyle name="Normal 5 3 3 2 6 3 2" xfId="14496" xr:uid="{2CE3F1D7-9582-4F73-AADA-F2F5F57B70C0}"/>
    <cellStyle name="Normal 5 3 3 2 6 4" xfId="10278" xr:uid="{ABD048FC-8370-438F-A490-CC10B17CC4AF}"/>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15F2C130-EEC7-4078-81BB-A22EC66901D5}"/>
    <cellStyle name="Normal 5 3 3 2 7 2 3" xfId="12836" xr:uid="{AA6F9C6F-C491-46F1-A28D-59E528346E62}"/>
    <cellStyle name="Normal 5 3 3 2 7 3" xfId="6467" xr:uid="{00000000-0005-0000-0000-0000C2190000}"/>
    <cellStyle name="Normal 5 3 3 2 7 3 2" xfId="14909" xr:uid="{329C8E4C-20FF-4828-A85F-18335B0C57EA}"/>
    <cellStyle name="Normal 5 3 3 2 7 4" xfId="10691" xr:uid="{E4AE906D-88A6-48F3-9A3F-9B34B450038F}"/>
    <cellStyle name="Normal 5 3 3 2 8" xfId="2596" xr:uid="{00000000-0005-0000-0000-0000C3190000}"/>
    <cellStyle name="Normal 5 3 3 2 8 2" xfId="6880" xr:uid="{00000000-0005-0000-0000-0000C4190000}"/>
    <cellStyle name="Normal 5 3 3 2 8 2 2" xfId="15322" xr:uid="{4C549991-4FDC-4081-8C4E-8AA5D1C210E5}"/>
    <cellStyle name="Normal 5 3 3 2 8 3" xfId="11104" xr:uid="{65DE02F3-BF0C-41C1-80BD-4F3E0961D28A}"/>
    <cellStyle name="Normal 5 3 3 2 9" xfId="4815" xr:uid="{00000000-0005-0000-0000-0000C5190000}"/>
    <cellStyle name="Normal 5 3 3 2 9 2" xfId="13257" xr:uid="{FAEF2B06-1ED9-40F0-BF1F-0D03A9E0FA0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D164C0CB-4EEE-4EF5-94DA-34D96119099E}"/>
    <cellStyle name="Normal 5 3 3 3 2 2 2 3" xfId="11602" xr:uid="{72C1C845-A6DB-42FF-974D-E76910615A28}"/>
    <cellStyle name="Normal 5 3 3 3 2 2 3" xfId="5233" xr:uid="{00000000-0005-0000-0000-0000CB190000}"/>
    <cellStyle name="Normal 5 3 3 3 2 2 3 2" xfId="13675" xr:uid="{94A9099F-6DD4-4065-BAFF-927C1948555C}"/>
    <cellStyle name="Normal 5 3 3 3 2 2 4" xfId="9457" xr:uid="{D1F4E5D5-503B-4D81-BF46-C1459F2CDBCB}"/>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3BAE707F-C5BD-4FA5-BD28-84E9D8C07756}"/>
    <cellStyle name="Normal 5 3 3 3 2 3 2 3" xfId="12015" xr:uid="{2556D4C5-20A3-436E-B077-F21E868BDCFF}"/>
    <cellStyle name="Normal 5 3 3 3 2 3 3" xfId="5646" xr:uid="{00000000-0005-0000-0000-0000CF190000}"/>
    <cellStyle name="Normal 5 3 3 3 2 3 3 2" xfId="14088" xr:uid="{5602372B-C2C6-404E-8566-1CCC89CFDB01}"/>
    <cellStyle name="Normal 5 3 3 3 2 3 4" xfId="9870" xr:uid="{F8CB92EB-A8C0-4110-9998-3C0B55BC3B23}"/>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BD84877C-4A6E-4E27-8E3C-3E4DF454BB98}"/>
    <cellStyle name="Normal 5 3 3 3 2 4 2 3" xfId="12428" xr:uid="{9111FB86-F8C9-4BE5-B4FD-B25B7FD8A061}"/>
    <cellStyle name="Normal 5 3 3 3 2 4 3" xfId="6059" xr:uid="{00000000-0005-0000-0000-0000D3190000}"/>
    <cellStyle name="Normal 5 3 3 3 2 4 3 2" xfId="14501" xr:uid="{2F35AB2E-B2D9-493A-BB86-9BA10182C716}"/>
    <cellStyle name="Normal 5 3 3 3 2 4 4" xfId="10283" xr:uid="{1D47DD2A-143B-44C3-9BB2-A6C17C603C41}"/>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1625D8E5-A340-48D6-A45A-387FADD4AEFC}"/>
    <cellStyle name="Normal 5 3 3 3 2 5 2 3" xfId="12841" xr:uid="{84CCB979-D9B5-4974-A4F5-FBE68F8C8345}"/>
    <cellStyle name="Normal 5 3 3 3 2 5 3" xfId="6472" xr:uid="{00000000-0005-0000-0000-0000D7190000}"/>
    <cellStyle name="Normal 5 3 3 3 2 5 3 2" xfId="14914" xr:uid="{2A8D47AF-EC9B-47F0-B50D-2D56F867D1A0}"/>
    <cellStyle name="Normal 5 3 3 3 2 5 4" xfId="10696" xr:uid="{8F9F4A05-4FF3-43E7-BCF6-60358EA364D3}"/>
    <cellStyle name="Normal 5 3 3 3 2 6" xfId="2601" xr:uid="{00000000-0005-0000-0000-0000D8190000}"/>
    <cellStyle name="Normal 5 3 3 3 2 6 2" xfId="6885" xr:uid="{00000000-0005-0000-0000-0000D9190000}"/>
    <cellStyle name="Normal 5 3 3 3 2 6 2 2" xfId="15327" xr:uid="{39A94E68-0891-4AC0-AF26-6ECE2DD33911}"/>
    <cellStyle name="Normal 5 3 3 3 2 6 3" xfId="11109" xr:uid="{024E4805-D139-4348-A682-4362B3CDF84F}"/>
    <cellStyle name="Normal 5 3 3 3 2 7" xfId="4820" xr:uid="{00000000-0005-0000-0000-0000DA190000}"/>
    <cellStyle name="Normal 5 3 3 3 2 7 2" xfId="13262" xr:uid="{A534AB6E-7F6F-40D8-9D83-AB86F9AACC26}"/>
    <cellStyle name="Normal 5 3 3 3 2 8" xfId="9044" xr:uid="{0681AD2D-BF60-419F-9BE6-0B5D48054973}"/>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23F4D06B-1919-4B8D-A22A-F94B2C0C4432}"/>
    <cellStyle name="Normal 5 3 3 3 3 2 3" xfId="11601" xr:uid="{033D1192-FCFD-439D-9E72-26947557A65C}"/>
    <cellStyle name="Normal 5 3 3 3 3 3" xfId="5232" xr:uid="{00000000-0005-0000-0000-0000DE190000}"/>
    <cellStyle name="Normal 5 3 3 3 3 3 2" xfId="13674" xr:uid="{98C6FF51-3E30-4A74-9263-9AA009709DDA}"/>
    <cellStyle name="Normal 5 3 3 3 3 4" xfId="9456" xr:uid="{F9D3D249-E89A-4BD7-A27C-C2D52A082382}"/>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44917FB1-7462-412E-95D7-0740A659D013}"/>
    <cellStyle name="Normal 5 3 3 3 4 2 3" xfId="12014" xr:uid="{CD5A2939-8963-47CB-8FC7-4D1403CC3FE3}"/>
    <cellStyle name="Normal 5 3 3 3 4 3" xfId="5645" xr:uid="{00000000-0005-0000-0000-0000E2190000}"/>
    <cellStyle name="Normal 5 3 3 3 4 3 2" xfId="14087" xr:uid="{815EC47D-CC88-4F1B-B200-57B16C88FF21}"/>
    <cellStyle name="Normal 5 3 3 3 4 4" xfId="9869" xr:uid="{A1A26FC2-20DE-42A7-9B01-E0F6154ED8D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69115AD7-1572-4BAE-83BB-4C3E983A62C1}"/>
    <cellStyle name="Normal 5 3 3 3 5 2 3" xfId="12427" xr:uid="{8B3D340B-A1DB-46A2-9C14-A17C615BD94E}"/>
    <cellStyle name="Normal 5 3 3 3 5 3" xfId="6058" xr:uid="{00000000-0005-0000-0000-0000E6190000}"/>
    <cellStyle name="Normal 5 3 3 3 5 3 2" xfId="14500" xr:uid="{B01FEF23-BF97-4B48-9216-2BB724B22DA9}"/>
    <cellStyle name="Normal 5 3 3 3 5 4" xfId="10282" xr:uid="{BACF9086-0658-4027-A116-DB36A97E428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DA5CB825-3199-4789-B0AA-A8029683AF26}"/>
    <cellStyle name="Normal 5 3 3 3 6 2 3" xfId="12840" xr:uid="{676117FA-932E-4CAD-AEE4-41C4D0CD0693}"/>
    <cellStyle name="Normal 5 3 3 3 6 3" xfId="6471" xr:uid="{00000000-0005-0000-0000-0000EA190000}"/>
    <cellStyle name="Normal 5 3 3 3 6 3 2" xfId="14913" xr:uid="{E61EDD68-5706-4FCD-A1FF-3801AA9BC3EB}"/>
    <cellStyle name="Normal 5 3 3 3 6 4" xfId="10695" xr:uid="{2E73256F-F7A5-4838-A142-DBAB4E513D1C}"/>
    <cellStyle name="Normal 5 3 3 3 7" xfId="2600" xr:uid="{00000000-0005-0000-0000-0000EB190000}"/>
    <cellStyle name="Normal 5 3 3 3 7 2" xfId="6884" xr:uid="{00000000-0005-0000-0000-0000EC190000}"/>
    <cellStyle name="Normal 5 3 3 3 7 2 2" xfId="15326" xr:uid="{548D5F14-74A2-4719-B9DA-C2C0836CCD87}"/>
    <cellStyle name="Normal 5 3 3 3 7 3" xfId="11108" xr:uid="{12DB7BB8-4BD4-4274-86F0-D2ED123B6D4D}"/>
    <cellStyle name="Normal 5 3 3 3 8" xfId="4819" xr:uid="{00000000-0005-0000-0000-0000ED190000}"/>
    <cellStyle name="Normal 5 3 3 3 8 2" xfId="13261" xr:uid="{1A8C1521-0D3F-4B9D-87C1-AF262A205B01}"/>
    <cellStyle name="Normal 5 3 3 3 9" xfId="9043" xr:uid="{6B4A9EB6-A55C-44F7-A3A2-1907C32A3AC5}"/>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03641FE1-208A-4D68-B38C-A20011ED0C49}"/>
    <cellStyle name="Normal 5 3 3 4 2 2 3" xfId="11603" xr:uid="{10C9DC4E-77A8-4061-B40E-76EA80E426FE}"/>
    <cellStyle name="Normal 5 3 3 4 2 3" xfId="5234" xr:uid="{00000000-0005-0000-0000-0000F2190000}"/>
    <cellStyle name="Normal 5 3 3 4 2 3 2" xfId="13676" xr:uid="{A41579BB-254D-49DB-80EF-E4C342AB8EB1}"/>
    <cellStyle name="Normal 5 3 3 4 2 4" xfId="9458" xr:uid="{0B310402-4698-431C-A1F7-B11EDD613392}"/>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2AFDA90D-64CD-4237-8221-708CC969F934}"/>
    <cellStyle name="Normal 5 3 3 4 3 2 3" xfId="12016" xr:uid="{2FDAE563-D4B2-4D16-8852-9E8CE05D620A}"/>
    <cellStyle name="Normal 5 3 3 4 3 3" xfId="5647" xr:uid="{00000000-0005-0000-0000-0000F6190000}"/>
    <cellStyle name="Normal 5 3 3 4 3 3 2" xfId="14089" xr:uid="{6E4DEF6A-3AA3-47B4-8D77-0DD04C4BC349}"/>
    <cellStyle name="Normal 5 3 3 4 3 4" xfId="9871" xr:uid="{0FE215FE-CA31-4602-94F0-DBB977306232}"/>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87E11BBD-18D3-4474-8B18-9E54FCA7EA46}"/>
    <cellStyle name="Normal 5 3 3 4 4 2 3" xfId="12429" xr:uid="{1741E862-1D50-408F-BD88-18BF57B472C8}"/>
    <cellStyle name="Normal 5 3 3 4 4 3" xfId="6060" xr:uid="{00000000-0005-0000-0000-0000FA190000}"/>
    <cellStyle name="Normal 5 3 3 4 4 3 2" xfId="14502" xr:uid="{FAA91062-8416-49CA-B947-423A747CAEB0}"/>
    <cellStyle name="Normal 5 3 3 4 4 4" xfId="10284" xr:uid="{5E430BAF-A3CE-4778-A3AE-C384233158D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8E7EE671-272F-40AE-804D-3CDA120CF733}"/>
    <cellStyle name="Normal 5 3 3 4 5 2 3" xfId="12842" xr:uid="{ED35320F-5C88-41D1-BB5D-D0739DB0E113}"/>
    <cellStyle name="Normal 5 3 3 4 5 3" xfId="6473" xr:uid="{00000000-0005-0000-0000-0000FE190000}"/>
    <cellStyle name="Normal 5 3 3 4 5 3 2" xfId="14915" xr:uid="{BF041D66-7288-4563-99F3-A5B153757B2A}"/>
    <cellStyle name="Normal 5 3 3 4 5 4" xfId="10697" xr:uid="{D309AF71-BF6F-408C-884F-AEBF82DC5E3D}"/>
    <cellStyle name="Normal 5 3 3 4 6" xfId="2602" xr:uid="{00000000-0005-0000-0000-0000FF190000}"/>
    <cellStyle name="Normal 5 3 3 4 6 2" xfId="6886" xr:uid="{00000000-0005-0000-0000-0000001A0000}"/>
    <cellStyle name="Normal 5 3 3 4 6 2 2" xfId="15328" xr:uid="{6CFEBB40-9F08-45F1-848A-CF8EDDCC6AA4}"/>
    <cellStyle name="Normal 5 3 3 4 6 3" xfId="11110" xr:uid="{AFF013DA-815F-458C-A9CD-8833ADCF0397}"/>
    <cellStyle name="Normal 5 3 3 4 7" xfId="4821" xr:uid="{00000000-0005-0000-0000-0000011A0000}"/>
    <cellStyle name="Normal 5 3 3 4 7 2" xfId="13263" xr:uid="{88C67D50-937D-4A04-88CB-3ADE89D6BF67}"/>
    <cellStyle name="Normal 5 3 3 4 8" xfId="9045" xr:uid="{EADEDC4B-F028-4C97-9B3D-8E0C8B828203}"/>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FEEC64CD-6825-4291-A40F-C3964E3D045C}"/>
    <cellStyle name="Normal 5 3 3 5 2 3" xfId="11596" xr:uid="{45A50CE9-2FD7-486B-B4F3-108444A6186C}"/>
    <cellStyle name="Normal 5 3 3 5 3" xfId="5227" xr:uid="{00000000-0005-0000-0000-0000051A0000}"/>
    <cellStyle name="Normal 5 3 3 5 3 2" xfId="13669" xr:uid="{6BDEDC3C-26BE-4259-B869-E73040550574}"/>
    <cellStyle name="Normal 5 3 3 5 4" xfId="9451" xr:uid="{3F39ECAA-26A3-4D5E-B25B-00F2B785B61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2AED79E1-7595-4A2E-A0EB-CBF5EDC53298}"/>
    <cellStyle name="Normal 5 3 3 6 2 3" xfId="12009" xr:uid="{D5A926BD-8F24-4E66-B21B-A9F46DA42BDC}"/>
    <cellStyle name="Normal 5 3 3 6 3" xfId="5640" xr:uid="{00000000-0005-0000-0000-0000091A0000}"/>
    <cellStyle name="Normal 5 3 3 6 3 2" xfId="14082" xr:uid="{CFFA01BF-D713-4542-AA48-9BF6F539933F}"/>
    <cellStyle name="Normal 5 3 3 6 4" xfId="9864" xr:uid="{B8B7EAF6-0130-4EE3-8945-397C3A8DC8CD}"/>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232B117C-FDC2-4B3D-94E2-90FC8C3CA8FE}"/>
    <cellStyle name="Normal 5 3 3 7 2 3" xfId="12422" xr:uid="{12EB2853-FA80-45D7-BAF5-37E807BC5BB7}"/>
    <cellStyle name="Normal 5 3 3 7 3" xfId="6053" xr:uid="{00000000-0005-0000-0000-00000D1A0000}"/>
    <cellStyle name="Normal 5 3 3 7 3 2" xfId="14495" xr:uid="{919F3DB1-EBB6-45D3-9D8F-1D175670F8FB}"/>
    <cellStyle name="Normal 5 3 3 7 4" xfId="10277" xr:uid="{566759A0-1597-46D3-9A7F-A17ED115C9AA}"/>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59D28F21-16EC-408D-8967-EBB933975859}"/>
    <cellStyle name="Normal 5 3 3 8 2 3" xfId="12835" xr:uid="{E5053A87-08D8-4BEF-B318-D08A6AD6092B}"/>
    <cellStyle name="Normal 5 3 3 8 3" xfId="6466" xr:uid="{00000000-0005-0000-0000-0000111A0000}"/>
    <cellStyle name="Normal 5 3 3 8 3 2" xfId="14908" xr:uid="{8CAC1416-CDFB-4586-844A-EB57B9DC6FBD}"/>
    <cellStyle name="Normal 5 3 3 8 4" xfId="10690" xr:uid="{4F45A574-7835-4B8E-A1DD-7B6C7C51277A}"/>
    <cellStyle name="Normal 5 3 3 9" xfId="2595" xr:uid="{00000000-0005-0000-0000-0000121A0000}"/>
    <cellStyle name="Normal 5 3 3 9 2" xfId="6879" xr:uid="{00000000-0005-0000-0000-0000131A0000}"/>
    <cellStyle name="Normal 5 3 3 9 2 2" xfId="15321" xr:uid="{EFF57458-07E8-45B6-9A5F-4715CA3C2BF4}"/>
    <cellStyle name="Normal 5 3 3 9 3" xfId="11103" xr:uid="{6DB0B933-1F6F-4FA8-9830-165DDC989165}"/>
    <cellStyle name="Normal 5 3 4" xfId="449" xr:uid="{00000000-0005-0000-0000-0000141A0000}"/>
    <cellStyle name="Normal 5 3 4 10" xfId="9046" xr:uid="{29C1AFF7-324A-4F27-8CEE-4BA8F70877A5}"/>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039452BC-96A2-478D-9910-5FA70A6F3451}"/>
    <cellStyle name="Normal 5 3 4 2 2 2 2 3" xfId="11606" xr:uid="{4FE2DC20-1EF8-40B4-B41B-999C0A483F6A}"/>
    <cellStyle name="Normal 5 3 4 2 2 2 3" xfId="5237" xr:uid="{00000000-0005-0000-0000-00001A1A0000}"/>
    <cellStyle name="Normal 5 3 4 2 2 2 3 2" xfId="13679" xr:uid="{EA6156AB-2950-4D9A-89AC-F058A99D5AC1}"/>
    <cellStyle name="Normal 5 3 4 2 2 2 4" xfId="9461" xr:uid="{1470C233-D52F-4877-8301-7C3B26135066}"/>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6C0A7E99-B5E1-4CEB-BED7-7141C0FB199A}"/>
    <cellStyle name="Normal 5 3 4 2 2 3 2 3" xfId="12019" xr:uid="{E50639A7-3C3A-48B0-86CC-7CF87ACFA313}"/>
    <cellStyle name="Normal 5 3 4 2 2 3 3" xfId="5650" xr:uid="{00000000-0005-0000-0000-00001E1A0000}"/>
    <cellStyle name="Normal 5 3 4 2 2 3 3 2" xfId="14092" xr:uid="{7BD875F0-7AA3-4E48-A4C4-B714251D710E}"/>
    <cellStyle name="Normal 5 3 4 2 2 3 4" xfId="9874" xr:uid="{385814D6-B21B-404E-A3BD-F35A310F8F82}"/>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C918438D-1CDD-4CF8-AE1D-6548F76339BC}"/>
    <cellStyle name="Normal 5 3 4 2 2 4 2 3" xfId="12432" xr:uid="{87DC0BB2-1BFE-4E48-860D-31F9FEBF3DE0}"/>
    <cellStyle name="Normal 5 3 4 2 2 4 3" xfId="6063" xr:uid="{00000000-0005-0000-0000-0000221A0000}"/>
    <cellStyle name="Normal 5 3 4 2 2 4 3 2" xfId="14505" xr:uid="{BA8496E2-E751-4FA6-9876-E01450A02A8C}"/>
    <cellStyle name="Normal 5 3 4 2 2 4 4" xfId="10287" xr:uid="{5E494864-113A-4030-A989-9F562184C6F2}"/>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B2C54456-DD20-4F45-A3C3-0A83AA3A2328}"/>
    <cellStyle name="Normal 5 3 4 2 2 5 2 3" xfId="12845" xr:uid="{4F7E55B2-438F-4BB2-9E16-36CC477EF2F8}"/>
    <cellStyle name="Normal 5 3 4 2 2 5 3" xfId="6476" xr:uid="{00000000-0005-0000-0000-0000261A0000}"/>
    <cellStyle name="Normal 5 3 4 2 2 5 3 2" xfId="14918" xr:uid="{D6FC67A7-C0C9-4D00-98E6-41F16DB73E69}"/>
    <cellStyle name="Normal 5 3 4 2 2 5 4" xfId="10700" xr:uid="{A8CB789B-8DF5-4FED-98D2-AF11A56CFE3B}"/>
    <cellStyle name="Normal 5 3 4 2 2 6" xfId="2605" xr:uid="{00000000-0005-0000-0000-0000271A0000}"/>
    <cellStyle name="Normal 5 3 4 2 2 6 2" xfId="6889" xr:uid="{00000000-0005-0000-0000-0000281A0000}"/>
    <cellStyle name="Normal 5 3 4 2 2 6 2 2" xfId="15331" xr:uid="{3CE77135-C9A4-4914-A420-9ABAC82B37CD}"/>
    <cellStyle name="Normal 5 3 4 2 2 6 3" xfId="11113" xr:uid="{F0BD5F8B-2FD6-4B6B-A474-94970F360C6C}"/>
    <cellStyle name="Normal 5 3 4 2 2 7" xfId="4824" xr:uid="{00000000-0005-0000-0000-0000291A0000}"/>
    <cellStyle name="Normal 5 3 4 2 2 7 2" xfId="13266" xr:uid="{309A87B5-3637-4F87-A4BF-0425BB72836E}"/>
    <cellStyle name="Normal 5 3 4 2 2 8" xfId="9048" xr:uid="{63A32E49-D826-4CB9-8196-055B92412068}"/>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66C4A2D1-EC00-4C35-A213-A0CA963621D0}"/>
    <cellStyle name="Normal 5 3 4 2 3 2 3" xfId="11605" xr:uid="{D9BD7220-6D91-446A-B3C6-C53CA4219A0D}"/>
    <cellStyle name="Normal 5 3 4 2 3 3" xfId="5236" xr:uid="{00000000-0005-0000-0000-00002D1A0000}"/>
    <cellStyle name="Normal 5 3 4 2 3 3 2" xfId="13678" xr:uid="{52796058-32AE-4136-8E02-5D167380C0EB}"/>
    <cellStyle name="Normal 5 3 4 2 3 4" xfId="9460" xr:uid="{442EAD07-4006-4B26-B6D6-42F92F86AE26}"/>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E41D0B61-2C07-4CBF-8753-4D7D5979A170}"/>
    <cellStyle name="Normal 5 3 4 2 4 2 3" xfId="12018" xr:uid="{8DCAAD89-6E39-499E-AE2A-CE6A356C851A}"/>
    <cellStyle name="Normal 5 3 4 2 4 3" xfId="5649" xr:uid="{00000000-0005-0000-0000-0000311A0000}"/>
    <cellStyle name="Normal 5 3 4 2 4 3 2" xfId="14091" xr:uid="{506CE7EB-0F1F-46CD-8F5F-EC898BFF1051}"/>
    <cellStyle name="Normal 5 3 4 2 4 4" xfId="9873" xr:uid="{B82FE1ED-4581-4502-87C4-FDAF5FCE6629}"/>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8E2FE8BE-D493-48DA-9C4A-112047791D01}"/>
    <cellStyle name="Normal 5 3 4 2 5 2 3" xfId="12431" xr:uid="{77E63CA7-3215-40AB-8EBF-CD4A68BBF02A}"/>
    <cellStyle name="Normal 5 3 4 2 5 3" xfId="6062" xr:uid="{00000000-0005-0000-0000-0000351A0000}"/>
    <cellStyle name="Normal 5 3 4 2 5 3 2" xfId="14504" xr:uid="{DFACF15B-571C-4F19-882C-88331922CA3F}"/>
    <cellStyle name="Normal 5 3 4 2 5 4" xfId="10286" xr:uid="{350D62C3-623D-47B2-8EAD-B05CF586DAFF}"/>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8E465FF1-D331-4245-B185-1AA6AD5F6268}"/>
    <cellStyle name="Normal 5 3 4 2 6 2 3" xfId="12844" xr:uid="{FAF76E21-5F26-49BB-A32B-9D6C164DE78D}"/>
    <cellStyle name="Normal 5 3 4 2 6 3" xfId="6475" xr:uid="{00000000-0005-0000-0000-0000391A0000}"/>
    <cellStyle name="Normal 5 3 4 2 6 3 2" xfId="14917" xr:uid="{E1799CA8-8E37-44D7-A699-5EC6D3A5BDBA}"/>
    <cellStyle name="Normal 5 3 4 2 6 4" xfId="10699" xr:uid="{5D9B3F09-1A15-481C-BB21-EAED4CF5B232}"/>
    <cellStyle name="Normal 5 3 4 2 7" xfId="2604" xr:uid="{00000000-0005-0000-0000-00003A1A0000}"/>
    <cellStyle name="Normal 5 3 4 2 7 2" xfId="6888" xr:uid="{00000000-0005-0000-0000-00003B1A0000}"/>
    <cellStyle name="Normal 5 3 4 2 7 2 2" xfId="15330" xr:uid="{40BCE25F-EFE0-4382-B991-A4329969FD1A}"/>
    <cellStyle name="Normal 5 3 4 2 7 3" xfId="11112" xr:uid="{7F7AFB85-EE66-486E-9911-2C6E7C85C149}"/>
    <cellStyle name="Normal 5 3 4 2 8" xfId="4823" xr:uid="{00000000-0005-0000-0000-00003C1A0000}"/>
    <cellStyle name="Normal 5 3 4 2 8 2" xfId="13265" xr:uid="{4F1C5131-8903-4737-B059-C27398496659}"/>
    <cellStyle name="Normal 5 3 4 2 9" xfId="9047" xr:uid="{F78DA9DA-8043-4849-A8BE-144E6272EB7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89EE2A72-A759-43D6-873B-5070820576CB}"/>
    <cellStyle name="Normal 5 3 4 3 2 2 3" xfId="11607" xr:uid="{5E8FCB9D-D35F-4994-A60D-D20F0225CBC3}"/>
    <cellStyle name="Normal 5 3 4 3 2 3" xfId="5238" xr:uid="{00000000-0005-0000-0000-0000411A0000}"/>
    <cellStyle name="Normal 5 3 4 3 2 3 2" xfId="13680" xr:uid="{51030487-1A6C-482F-8D3C-E86F85A32D97}"/>
    <cellStyle name="Normal 5 3 4 3 2 4" xfId="9462" xr:uid="{5017083A-8039-431E-B04F-8DD6983A25DD}"/>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EFB241D1-230C-401D-9CF0-17C8381780B1}"/>
    <cellStyle name="Normal 5 3 4 3 3 2 3" xfId="12020" xr:uid="{47FC1B92-0093-4046-8EBE-7767A0453C78}"/>
    <cellStyle name="Normal 5 3 4 3 3 3" xfId="5651" xr:uid="{00000000-0005-0000-0000-0000451A0000}"/>
    <cellStyle name="Normal 5 3 4 3 3 3 2" xfId="14093" xr:uid="{4381378A-5F88-428D-819D-8F8F9105E0DE}"/>
    <cellStyle name="Normal 5 3 4 3 3 4" xfId="9875" xr:uid="{78255087-224D-4EFC-A526-428A4F7184DF}"/>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D049BE85-CE46-4F3F-8B8B-047E9A2C4968}"/>
    <cellStyle name="Normal 5 3 4 3 4 2 3" xfId="12433" xr:uid="{BCF9AA99-0AEC-4F87-BA1D-0F7DA0D99812}"/>
    <cellStyle name="Normal 5 3 4 3 4 3" xfId="6064" xr:uid="{00000000-0005-0000-0000-0000491A0000}"/>
    <cellStyle name="Normal 5 3 4 3 4 3 2" xfId="14506" xr:uid="{C09F6C7E-631A-4C41-A4A9-BA3D3EC461FB}"/>
    <cellStyle name="Normal 5 3 4 3 4 4" xfId="10288" xr:uid="{80AFD19F-980B-4076-9D0B-D3E62DFEB0B3}"/>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394B628E-F6B5-48EB-8029-8FCB033D5E87}"/>
    <cellStyle name="Normal 5 3 4 3 5 2 3" xfId="12846" xr:uid="{B5D400D4-68E0-4472-B298-D968B3D6E1ED}"/>
    <cellStyle name="Normal 5 3 4 3 5 3" xfId="6477" xr:uid="{00000000-0005-0000-0000-00004D1A0000}"/>
    <cellStyle name="Normal 5 3 4 3 5 3 2" xfId="14919" xr:uid="{3E443EF4-5176-4B25-B20E-852C0163383E}"/>
    <cellStyle name="Normal 5 3 4 3 5 4" xfId="10701" xr:uid="{8C17E3A1-2C70-414D-AAFD-BBB0DFE76ADE}"/>
    <cellStyle name="Normal 5 3 4 3 6" xfId="2606" xr:uid="{00000000-0005-0000-0000-00004E1A0000}"/>
    <cellStyle name="Normal 5 3 4 3 6 2" xfId="6890" xr:uid="{00000000-0005-0000-0000-00004F1A0000}"/>
    <cellStyle name="Normal 5 3 4 3 6 2 2" xfId="15332" xr:uid="{6671DF4C-9727-402A-AC2B-FD6EA32737E7}"/>
    <cellStyle name="Normal 5 3 4 3 6 3" xfId="11114" xr:uid="{F23B1FC8-27DA-4016-BE92-A13FE715E1C5}"/>
    <cellStyle name="Normal 5 3 4 3 7" xfId="4825" xr:uid="{00000000-0005-0000-0000-0000501A0000}"/>
    <cellStyle name="Normal 5 3 4 3 7 2" xfId="13267" xr:uid="{330A64EE-8C1E-4E0B-AD20-AFAD1B0B92AD}"/>
    <cellStyle name="Normal 5 3 4 3 8" xfId="9049" xr:uid="{0E2322A1-FA58-4FD5-9854-3CD3689960DF}"/>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78FCB6C0-EBC7-442B-A4C8-2762B7A84A24}"/>
    <cellStyle name="Normal 5 3 4 4 2 3" xfId="11604" xr:uid="{04CBB845-35DE-4100-BDB6-73713AA0C0FA}"/>
    <cellStyle name="Normal 5 3 4 4 3" xfId="5235" xr:uid="{00000000-0005-0000-0000-0000541A0000}"/>
    <cellStyle name="Normal 5 3 4 4 3 2" xfId="13677" xr:uid="{9B7B8B22-CB2C-49A5-ACC9-243ECCBE4C2D}"/>
    <cellStyle name="Normal 5 3 4 4 4" xfId="9459" xr:uid="{97F5FECA-769D-4D2D-9C80-E7BC3339DBEF}"/>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F5FBFD42-B1D1-49E9-8EDD-63BE294D6568}"/>
    <cellStyle name="Normal 5 3 4 5 2 3" xfId="12017" xr:uid="{697F9AEA-D312-4FB8-8648-7F22D5A56703}"/>
    <cellStyle name="Normal 5 3 4 5 3" xfId="5648" xr:uid="{00000000-0005-0000-0000-0000581A0000}"/>
    <cellStyle name="Normal 5 3 4 5 3 2" xfId="14090" xr:uid="{7353DE30-14B3-4266-9707-AD858B8ECDE2}"/>
    <cellStyle name="Normal 5 3 4 5 4" xfId="9872" xr:uid="{B8399351-673E-4A18-9650-D23180189A3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321E5CD0-3803-4E0B-8CAB-EB76115C8516}"/>
    <cellStyle name="Normal 5 3 4 6 2 3" xfId="12430" xr:uid="{5116979F-C343-4E3C-B0CB-21DC4D7C25EC}"/>
    <cellStyle name="Normal 5 3 4 6 3" xfId="6061" xr:uid="{00000000-0005-0000-0000-00005C1A0000}"/>
    <cellStyle name="Normal 5 3 4 6 3 2" xfId="14503" xr:uid="{F6DA49DF-AA52-443A-A93D-DC67E458635C}"/>
    <cellStyle name="Normal 5 3 4 6 4" xfId="10285" xr:uid="{1EDBA435-1FCD-43C4-944E-576F21BD6833}"/>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50007FA3-0EB0-42F5-BA57-670AF3CA741D}"/>
    <cellStyle name="Normal 5 3 4 7 2 3" xfId="12843" xr:uid="{624913C6-31AC-4D08-A5D4-B9CE3B3871A8}"/>
    <cellStyle name="Normal 5 3 4 7 3" xfId="6474" xr:uid="{00000000-0005-0000-0000-0000601A0000}"/>
    <cellStyle name="Normal 5 3 4 7 3 2" xfId="14916" xr:uid="{FDBECCFC-F40E-4755-B665-22F1FC125581}"/>
    <cellStyle name="Normal 5 3 4 7 4" xfId="10698" xr:uid="{30FAC759-67B9-4906-8AF9-333DD8DEB994}"/>
    <cellStyle name="Normal 5 3 4 8" xfId="2603" xr:uid="{00000000-0005-0000-0000-0000611A0000}"/>
    <cellStyle name="Normal 5 3 4 8 2" xfId="6887" xr:uid="{00000000-0005-0000-0000-0000621A0000}"/>
    <cellStyle name="Normal 5 3 4 8 2 2" xfId="15329" xr:uid="{33682D79-6E96-4F41-8E77-3EC043FCD4F8}"/>
    <cellStyle name="Normal 5 3 4 8 3" xfId="11111" xr:uid="{F3224128-4687-4D57-9038-9DF299DF06B5}"/>
    <cellStyle name="Normal 5 3 4 9" xfId="4822" xr:uid="{00000000-0005-0000-0000-0000631A0000}"/>
    <cellStyle name="Normal 5 3 4 9 2" xfId="13264" xr:uid="{9D493661-C11F-4A5C-ABBF-C07F7919F2F4}"/>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07B047B-AB6F-4484-ABD7-653C575388C5}"/>
    <cellStyle name="Normal 5 3 5 2 2 2 3" xfId="11609" xr:uid="{44FD2614-299B-43E9-8167-8FF21889EA56}"/>
    <cellStyle name="Normal 5 3 5 2 2 3" xfId="5240" xr:uid="{00000000-0005-0000-0000-0000691A0000}"/>
    <cellStyle name="Normal 5 3 5 2 2 3 2" xfId="13682" xr:uid="{C43258B6-5E26-4BBB-B554-3002D563A21F}"/>
    <cellStyle name="Normal 5 3 5 2 2 4" xfId="9464" xr:uid="{E2985282-A155-47D4-8AA4-53F44F9A48DF}"/>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8E1A9CAC-5B3A-4F7F-8F8E-F259655F2D94}"/>
    <cellStyle name="Normal 5 3 5 2 3 2 3" xfId="12022" xr:uid="{29130774-A06B-49F7-917E-FB29678DFFA1}"/>
    <cellStyle name="Normal 5 3 5 2 3 3" xfId="5653" xr:uid="{00000000-0005-0000-0000-00006D1A0000}"/>
    <cellStyle name="Normal 5 3 5 2 3 3 2" xfId="14095" xr:uid="{E00FD00F-C111-4615-A8C2-6ED77E818965}"/>
    <cellStyle name="Normal 5 3 5 2 3 4" xfId="9877" xr:uid="{F7271662-4D4B-4D7C-BD14-6D9A2755CB0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EC613B40-9A12-4024-8DBD-2F0F3BD173DC}"/>
    <cellStyle name="Normal 5 3 5 2 4 2 3" xfId="12435" xr:uid="{B4A0D5E0-ADA4-4DBA-A4FB-97CBFEE8ED5C}"/>
    <cellStyle name="Normal 5 3 5 2 4 3" xfId="6066" xr:uid="{00000000-0005-0000-0000-0000711A0000}"/>
    <cellStyle name="Normal 5 3 5 2 4 3 2" xfId="14508" xr:uid="{9BA47D62-0980-4E42-B370-F628BFE1B28E}"/>
    <cellStyle name="Normal 5 3 5 2 4 4" xfId="10290" xr:uid="{B4F5A88A-D244-4D2A-B77A-CFE029E82FCB}"/>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49D24ED7-C688-4321-9129-5CEFD30AA35E}"/>
    <cellStyle name="Normal 5 3 5 2 5 2 3" xfId="12848" xr:uid="{CC750C57-4E2C-497D-89AA-A96D12B9E457}"/>
    <cellStyle name="Normal 5 3 5 2 5 3" xfId="6479" xr:uid="{00000000-0005-0000-0000-0000751A0000}"/>
    <cellStyle name="Normal 5 3 5 2 5 3 2" xfId="14921" xr:uid="{0B99A2B9-CC6C-4AF2-A122-AC94B9510C56}"/>
    <cellStyle name="Normal 5 3 5 2 5 4" xfId="10703" xr:uid="{B5D2B9A6-0B11-499D-AFAD-D257320ABCB4}"/>
    <cellStyle name="Normal 5 3 5 2 6" xfId="2608" xr:uid="{00000000-0005-0000-0000-0000761A0000}"/>
    <cellStyle name="Normal 5 3 5 2 6 2" xfId="6892" xr:uid="{00000000-0005-0000-0000-0000771A0000}"/>
    <cellStyle name="Normal 5 3 5 2 6 2 2" xfId="15334" xr:uid="{12098120-7612-4469-A95F-30BB1F1CED19}"/>
    <cellStyle name="Normal 5 3 5 2 6 3" xfId="11116" xr:uid="{45562FC2-7C1C-4FE5-A2E9-F1C85E869D1F}"/>
    <cellStyle name="Normal 5 3 5 2 7" xfId="4827" xr:uid="{00000000-0005-0000-0000-0000781A0000}"/>
    <cellStyle name="Normal 5 3 5 2 7 2" xfId="13269" xr:uid="{5FCDFB78-5C35-42BD-9A1E-7FB9924CE4F1}"/>
    <cellStyle name="Normal 5 3 5 2 8" xfId="9051" xr:uid="{B7A4C396-6D62-48AC-A5D9-89B57515B310}"/>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5CEE326F-0A72-41F5-8E92-C58191A7C564}"/>
    <cellStyle name="Normal 5 3 5 3 2 3" xfId="11608" xr:uid="{E4BF1BCA-748C-49D0-BF3A-C3080D8DBDD4}"/>
    <cellStyle name="Normal 5 3 5 3 3" xfId="5239" xr:uid="{00000000-0005-0000-0000-00007C1A0000}"/>
    <cellStyle name="Normal 5 3 5 3 3 2" xfId="13681" xr:uid="{B8D4E046-FCBA-4B48-8575-1765E4BEA0DF}"/>
    <cellStyle name="Normal 5 3 5 3 4" xfId="9463" xr:uid="{397C0FDE-038E-48EE-AD6E-0532841078A8}"/>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39A989B5-4F2F-41BD-9A48-353B43292F6E}"/>
    <cellStyle name="Normal 5 3 5 4 2 3" xfId="12021" xr:uid="{9414C06F-E17C-444A-9853-2A7E93389893}"/>
    <cellStyle name="Normal 5 3 5 4 3" xfId="5652" xr:uid="{00000000-0005-0000-0000-0000801A0000}"/>
    <cellStyle name="Normal 5 3 5 4 3 2" xfId="14094" xr:uid="{AA065576-7A6B-47C3-A935-4BF02D0F98CE}"/>
    <cellStyle name="Normal 5 3 5 4 4" xfId="9876" xr:uid="{674868A0-7682-4856-AF96-92F23451FC32}"/>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E9C713DF-CFA7-434A-BE89-8E7385000199}"/>
    <cellStyle name="Normal 5 3 5 5 2 3" xfId="12434" xr:uid="{0F5FDC30-F63B-40D1-A06D-818EFDB03693}"/>
    <cellStyle name="Normal 5 3 5 5 3" xfId="6065" xr:uid="{00000000-0005-0000-0000-0000841A0000}"/>
    <cellStyle name="Normal 5 3 5 5 3 2" xfId="14507" xr:uid="{5BDCEE33-4AB0-4997-AC76-AC7739905125}"/>
    <cellStyle name="Normal 5 3 5 5 4" xfId="10289" xr:uid="{7DD2496F-EC3A-4F8C-8DA8-5A0E9AE1BB72}"/>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F8535211-BFC1-42B5-89D8-5D846FED21AB}"/>
    <cellStyle name="Normal 5 3 5 6 2 3" xfId="12847" xr:uid="{5DEA1FB5-BF4D-4EE3-8CD9-AAEDB0E5D006}"/>
    <cellStyle name="Normal 5 3 5 6 3" xfId="6478" xr:uid="{00000000-0005-0000-0000-0000881A0000}"/>
    <cellStyle name="Normal 5 3 5 6 3 2" xfId="14920" xr:uid="{77D7BACB-5F06-48A3-9574-194A5CEA0B11}"/>
    <cellStyle name="Normal 5 3 5 6 4" xfId="10702" xr:uid="{21158952-118E-45CA-871A-2FDE362F2F41}"/>
    <cellStyle name="Normal 5 3 5 7" xfId="2607" xr:uid="{00000000-0005-0000-0000-0000891A0000}"/>
    <cellStyle name="Normal 5 3 5 7 2" xfId="6891" xr:uid="{00000000-0005-0000-0000-00008A1A0000}"/>
    <cellStyle name="Normal 5 3 5 7 2 2" xfId="15333" xr:uid="{785351D1-E4FD-49C4-918C-DDCB6B186D7F}"/>
    <cellStyle name="Normal 5 3 5 7 3" xfId="11115" xr:uid="{03223839-00D1-409B-B6E7-C4B67CE957F0}"/>
    <cellStyle name="Normal 5 3 5 8" xfId="4826" xr:uid="{00000000-0005-0000-0000-00008B1A0000}"/>
    <cellStyle name="Normal 5 3 5 8 2" xfId="13268" xr:uid="{BD71BC5F-C58D-450F-B343-9A2C0C9AE0FA}"/>
    <cellStyle name="Normal 5 3 5 9" xfId="9050" xr:uid="{DBC075C9-4387-40E0-B590-8C896B19F9AD}"/>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5BD53F73-51C0-46EE-8F5B-8E2940D3B302}"/>
    <cellStyle name="Normal 5 3 6 2 2 3" xfId="11610" xr:uid="{D6F53ECA-FB1E-4AE1-B672-4999F94C5E8F}"/>
    <cellStyle name="Normal 5 3 6 2 3" xfId="5241" xr:uid="{00000000-0005-0000-0000-0000901A0000}"/>
    <cellStyle name="Normal 5 3 6 2 3 2" xfId="13683" xr:uid="{243BD16A-265E-4889-8CD0-F26326C0F8AE}"/>
    <cellStyle name="Normal 5 3 6 2 4" xfId="9465" xr:uid="{A6A23C1D-7826-473C-9104-450804B67D22}"/>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6C26EFB6-3D7A-4C06-A425-E3BD720B3B93}"/>
    <cellStyle name="Normal 5 3 6 3 2 3" xfId="12023" xr:uid="{CBDEB9EA-879F-4BC5-AF50-A4D8C1B50DCA}"/>
    <cellStyle name="Normal 5 3 6 3 3" xfId="5654" xr:uid="{00000000-0005-0000-0000-0000941A0000}"/>
    <cellStyle name="Normal 5 3 6 3 3 2" xfId="14096" xr:uid="{71E76478-228F-42D4-819B-37F128830319}"/>
    <cellStyle name="Normal 5 3 6 3 4" xfId="9878" xr:uid="{483ADF2E-2BAD-4648-A0CB-038E0E77C61C}"/>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56FFAA18-CDF2-46B9-883D-0C4F16CBBC4B}"/>
    <cellStyle name="Normal 5 3 6 4 2 3" xfId="12436" xr:uid="{B1FCFF50-16D7-44E3-BDE7-6E3B12D3D49B}"/>
    <cellStyle name="Normal 5 3 6 4 3" xfId="6067" xr:uid="{00000000-0005-0000-0000-0000981A0000}"/>
    <cellStyle name="Normal 5 3 6 4 3 2" xfId="14509" xr:uid="{A1A48217-FAB5-4AF2-AFBF-45FE1F445139}"/>
    <cellStyle name="Normal 5 3 6 4 4" xfId="10291" xr:uid="{44BFCE09-800C-42AF-822F-1C019BE1DE79}"/>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3ADCE773-E58B-466E-8D79-C42EFB9DCCFE}"/>
    <cellStyle name="Normal 5 3 6 5 2 3" xfId="12849" xr:uid="{D087F926-5FED-4C33-9E1A-B73926C41101}"/>
    <cellStyle name="Normal 5 3 6 5 3" xfId="6480" xr:uid="{00000000-0005-0000-0000-00009C1A0000}"/>
    <cellStyle name="Normal 5 3 6 5 3 2" xfId="14922" xr:uid="{94525F6F-8C07-4DB6-B8FF-7556F53DD7DB}"/>
    <cellStyle name="Normal 5 3 6 5 4" xfId="10704" xr:uid="{FDAF7EF2-0310-401D-AFE2-5AF8CF428FD7}"/>
    <cellStyle name="Normal 5 3 6 6" xfId="2609" xr:uid="{00000000-0005-0000-0000-00009D1A0000}"/>
    <cellStyle name="Normal 5 3 6 6 2" xfId="6893" xr:uid="{00000000-0005-0000-0000-00009E1A0000}"/>
    <cellStyle name="Normal 5 3 6 6 2 2" xfId="15335" xr:uid="{C8F5D974-6C51-4A46-A15A-0D97299E389A}"/>
    <cellStyle name="Normal 5 3 6 6 3" xfId="11117" xr:uid="{C59879A5-52E2-427D-8661-A0FCEA14BBFA}"/>
    <cellStyle name="Normal 5 3 6 7" xfId="4828" xr:uid="{00000000-0005-0000-0000-00009F1A0000}"/>
    <cellStyle name="Normal 5 3 6 7 2" xfId="13270" xr:uid="{7940FD99-76B5-40FE-B646-04F2B6B43CD8}"/>
    <cellStyle name="Normal 5 3 6 8" xfId="9052" xr:uid="{DC148EA8-CC5C-464D-84CF-9EE886374808}"/>
    <cellStyle name="Normal 5 3 7" xfId="913" xr:uid="{00000000-0005-0000-0000-0000A01A0000}"/>
    <cellStyle name="Normal 5 3 7 2" xfId="3148" xr:uid="{00000000-0005-0000-0000-0000A11A0000}"/>
    <cellStyle name="Normal 5 3 7 2 2" xfId="7371" xr:uid="{00000000-0005-0000-0000-0000A21A0000}"/>
    <cellStyle name="Normal 5 3 7 2 2 2" xfId="15813" xr:uid="{4821A789-F6FF-4E32-900A-412FB1BE86AE}"/>
    <cellStyle name="Normal 5 3 7 2 3" xfId="11595" xr:uid="{121AB33C-D6E4-48EE-B623-FF31BD804033}"/>
    <cellStyle name="Normal 5 3 7 3" xfId="5226" xr:uid="{00000000-0005-0000-0000-0000A31A0000}"/>
    <cellStyle name="Normal 5 3 7 3 2" xfId="13668" xr:uid="{5685BBB9-43FF-44D7-ACD8-EA1F475151DF}"/>
    <cellStyle name="Normal 5 3 7 4" xfId="9450" xr:uid="{8823E154-2A20-4BD0-850B-E68233714864}"/>
    <cellStyle name="Normal 5 3 8" xfId="1331" xr:uid="{00000000-0005-0000-0000-0000A41A0000}"/>
    <cellStyle name="Normal 5 3 8 2" xfId="3561" xr:uid="{00000000-0005-0000-0000-0000A51A0000}"/>
    <cellStyle name="Normal 5 3 8 2 2" xfId="7784" xr:uid="{00000000-0005-0000-0000-0000A61A0000}"/>
    <cellStyle name="Normal 5 3 8 2 2 2" xfId="16226" xr:uid="{997DEB4B-D1A6-40A4-99FE-2FC6DD8789B4}"/>
    <cellStyle name="Normal 5 3 8 2 3" xfId="12008" xr:uid="{3008C635-A018-4E5F-94F8-96D3CA357064}"/>
    <cellStyle name="Normal 5 3 8 3" xfId="5639" xr:uid="{00000000-0005-0000-0000-0000A71A0000}"/>
    <cellStyle name="Normal 5 3 8 3 2" xfId="14081" xr:uid="{B34A85CB-18A6-4CA6-980C-500353C5D757}"/>
    <cellStyle name="Normal 5 3 8 4" xfId="9863" xr:uid="{334E33A4-7B26-464E-A9D7-06E8937BB858}"/>
    <cellStyle name="Normal 5 3 9" xfId="1744" xr:uid="{00000000-0005-0000-0000-0000A81A0000}"/>
    <cellStyle name="Normal 5 3 9 2" xfId="3974" xr:uid="{00000000-0005-0000-0000-0000A91A0000}"/>
    <cellStyle name="Normal 5 3 9 2 2" xfId="8197" xr:uid="{00000000-0005-0000-0000-0000AA1A0000}"/>
    <cellStyle name="Normal 5 3 9 2 2 2" xfId="16639" xr:uid="{B68BA88F-5D9F-472E-B236-0B67BB28450B}"/>
    <cellStyle name="Normal 5 3 9 2 3" xfId="12421" xr:uid="{8E4D23FC-F3C8-4F12-B70D-1BA5EC984AE8}"/>
    <cellStyle name="Normal 5 3 9 3" xfId="6052" xr:uid="{00000000-0005-0000-0000-0000AB1A0000}"/>
    <cellStyle name="Normal 5 3 9 3 2" xfId="14494" xr:uid="{6A046AF0-F801-4492-BA06-8EA9C15A34E4}"/>
    <cellStyle name="Normal 5 3 9 4" xfId="10276" xr:uid="{AD7D101F-0A27-4ADF-9E29-2A233D357A68}"/>
    <cellStyle name="Normal 5 4" xfId="456" xr:uid="{00000000-0005-0000-0000-0000AC1A0000}"/>
    <cellStyle name="Normal 5 4 10" xfId="4829" xr:uid="{00000000-0005-0000-0000-0000AD1A0000}"/>
    <cellStyle name="Normal 5 4 10 2" xfId="13271" xr:uid="{1E1C3777-1A0A-4FC5-8E12-7EF841B41890}"/>
    <cellStyle name="Normal 5 4 11" xfId="9053" xr:uid="{BA48A555-A875-4199-961F-156145CEFE4E}"/>
    <cellStyle name="Normal 5 4 2" xfId="457" xr:uid="{00000000-0005-0000-0000-0000AE1A0000}"/>
    <cellStyle name="Normal 5 4 2 10" xfId="9054" xr:uid="{78900A39-F37F-4CAA-B07C-433C163AA0F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35ED6C4B-2BF1-4C10-A1C5-6298966B1F89}"/>
    <cellStyle name="Normal 5 4 2 2 2 2 2 3" xfId="11614" xr:uid="{48E71E14-22A0-4FE8-B730-9C090236F941}"/>
    <cellStyle name="Normal 5 4 2 2 2 2 3" xfId="5245" xr:uid="{00000000-0005-0000-0000-0000B41A0000}"/>
    <cellStyle name="Normal 5 4 2 2 2 2 3 2" xfId="13687" xr:uid="{7B4BC0A4-B0B3-4ABF-80CB-0D8C7B878CA7}"/>
    <cellStyle name="Normal 5 4 2 2 2 2 4" xfId="9469" xr:uid="{40DA7344-833A-42FD-A3BC-5D445DAF504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FE00393B-0C55-4D9A-A423-423A672E7666}"/>
    <cellStyle name="Normal 5 4 2 2 2 3 2 3" xfId="12027" xr:uid="{89D835EC-1EBD-409A-8123-462DE6F1C3BD}"/>
    <cellStyle name="Normal 5 4 2 2 2 3 3" xfId="5658" xr:uid="{00000000-0005-0000-0000-0000B81A0000}"/>
    <cellStyle name="Normal 5 4 2 2 2 3 3 2" xfId="14100" xr:uid="{47FB531A-C38B-4F62-9107-7DE7876BC5E0}"/>
    <cellStyle name="Normal 5 4 2 2 2 3 4" xfId="9882" xr:uid="{78677137-B808-4C8F-A0CC-C945B946642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02685028-0247-4610-BBF9-9ACC8DD42D02}"/>
    <cellStyle name="Normal 5 4 2 2 2 4 2 3" xfId="12440" xr:uid="{714368E9-E016-46F3-A042-D7A158BC1B01}"/>
    <cellStyle name="Normal 5 4 2 2 2 4 3" xfId="6071" xr:uid="{00000000-0005-0000-0000-0000BC1A0000}"/>
    <cellStyle name="Normal 5 4 2 2 2 4 3 2" xfId="14513" xr:uid="{368E4C8C-F34A-4D9E-99C2-A29AC82D4FC7}"/>
    <cellStyle name="Normal 5 4 2 2 2 4 4" xfId="10295" xr:uid="{F9AD3159-50B5-483B-B9AB-E9C0372EBA3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4304C809-C38B-40CC-931F-FD58ED163FF4}"/>
    <cellStyle name="Normal 5 4 2 2 2 5 2 3" xfId="12853" xr:uid="{C66EAFF2-7977-4657-AD13-74248EC4B113}"/>
    <cellStyle name="Normal 5 4 2 2 2 5 3" xfId="6484" xr:uid="{00000000-0005-0000-0000-0000C01A0000}"/>
    <cellStyle name="Normal 5 4 2 2 2 5 3 2" xfId="14926" xr:uid="{91128943-96E9-45F0-A5AC-0444DC18E0CE}"/>
    <cellStyle name="Normal 5 4 2 2 2 5 4" xfId="10708" xr:uid="{41F52B2A-1E72-4C20-A75D-4D81C8B443DD}"/>
    <cellStyle name="Normal 5 4 2 2 2 6" xfId="2613" xr:uid="{00000000-0005-0000-0000-0000C11A0000}"/>
    <cellStyle name="Normal 5 4 2 2 2 6 2" xfId="6897" xr:uid="{00000000-0005-0000-0000-0000C21A0000}"/>
    <cellStyle name="Normal 5 4 2 2 2 6 2 2" xfId="15339" xr:uid="{A8C6E7BF-5FFD-459F-ABD5-D6EA147CDC07}"/>
    <cellStyle name="Normal 5 4 2 2 2 6 3" xfId="11121" xr:uid="{E7292328-A1A0-4B7B-8138-5EEF83005637}"/>
    <cellStyle name="Normal 5 4 2 2 2 7" xfId="4832" xr:uid="{00000000-0005-0000-0000-0000C31A0000}"/>
    <cellStyle name="Normal 5 4 2 2 2 7 2" xfId="13274" xr:uid="{A4E39183-02EF-4432-9CCF-51585955B51D}"/>
    <cellStyle name="Normal 5 4 2 2 2 8" xfId="9056" xr:uid="{193D4DC5-BE61-4E9A-BE30-492C43C2C86D}"/>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BD434F8B-3948-4735-8A53-D07678EAD61D}"/>
    <cellStyle name="Normal 5 4 2 2 3 2 3" xfId="11613" xr:uid="{D022C4B5-7EFB-4FC0-AAAD-BEF1022DE005}"/>
    <cellStyle name="Normal 5 4 2 2 3 3" xfId="5244" xr:uid="{00000000-0005-0000-0000-0000C71A0000}"/>
    <cellStyle name="Normal 5 4 2 2 3 3 2" xfId="13686" xr:uid="{2773881A-0A48-4208-B1C5-13E2DBBFB925}"/>
    <cellStyle name="Normal 5 4 2 2 3 4" xfId="9468" xr:uid="{4BB51420-834D-487D-9585-CB075F4368B6}"/>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42AE51B0-5D29-45A8-AE12-4545A8F06810}"/>
    <cellStyle name="Normal 5 4 2 2 4 2 3" xfId="12026" xr:uid="{0FF98EE4-D3D1-428D-A7C4-22C049D60CF5}"/>
    <cellStyle name="Normal 5 4 2 2 4 3" xfId="5657" xr:uid="{00000000-0005-0000-0000-0000CB1A0000}"/>
    <cellStyle name="Normal 5 4 2 2 4 3 2" xfId="14099" xr:uid="{2E660E21-4275-44AD-8E6E-DDC5EEBE4791}"/>
    <cellStyle name="Normal 5 4 2 2 4 4" xfId="9881" xr:uid="{EC1DA41B-16A2-4216-A8B0-D931398CDC21}"/>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10BAF9B2-61EA-44ED-A178-B2930C1FC8C8}"/>
    <cellStyle name="Normal 5 4 2 2 5 2 3" xfId="12439" xr:uid="{849ECF67-F3CF-4CD2-912A-D52D0B248318}"/>
    <cellStyle name="Normal 5 4 2 2 5 3" xfId="6070" xr:uid="{00000000-0005-0000-0000-0000CF1A0000}"/>
    <cellStyle name="Normal 5 4 2 2 5 3 2" xfId="14512" xr:uid="{B8CBBDA7-CCED-45B7-8E89-23148E60C2E9}"/>
    <cellStyle name="Normal 5 4 2 2 5 4" xfId="10294" xr:uid="{83B356BB-2259-4D54-A152-93DA1E92F0E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D89D8025-A0EF-449B-AA69-FDEA551EF94F}"/>
    <cellStyle name="Normal 5 4 2 2 6 2 3" xfId="12852" xr:uid="{348A54E3-2572-4A59-9DBB-80D92909C56A}"/>
    <cellStyle name="Normal 5 4 2 2 6 3" xfId="6483" xr:uid="{00000000-0005-0000-0000-0000D31A0000}"/>
    <cellStyle name="Normal 5 4 2 2 6 3 2" xfId="14925" xr:uid="{0B409B9A-B4CE-4645-8C7C-B6097B62FC4D}"/>
    <cellStyle name="Normal 5 4 2 2 6 4" xfId="10707" xr:uid="{B749C274-F3EB-4D2D-9A1D-37C11CC85AC5}"/>
    <cellStyle name="Normal 5 4 2 2 7" xfId="2612" xr:uid="{00000000-0005-0000-0000-0000D41A0000}"/>
    <cellStyle name="Normal 5 4 2 2 7 2" xfId="6896" xr:uid="{00000000-0005-0000-0000-0000D51A0000}"/>
    <cellStyle name="Normal 5 4 2 2 7 2 2" xfId="15338" xr:uid="{D2FB86FB-131B-42F1-839E-50C2B29354AD}"/>
    <cellStyle name="Normal 5 4 2 2 7 3" xfId="11120" xr:uid="{3D5CB7CC-ADAF-4381-B9A2-249542260512}"/>
    <cellStyle name="Normal 5 4 2 2 8" xfId="4831" xr:uid="{00000000-0005-0000-0000-0000D61A0000}"/>
    <cellStyle name="Normal 5 4 2 2 8 2" xfId="13273" xr:uid="{02DDD18C-EF85-42D0-8B4E-4C24714F4AB6}"/>
    <cellStyle name="Normal 5 4 2 2 9" xfId="9055" xr:uid="{7A038901-2D0C-462B-B98B-3B59C003752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DCE02C5B-D554-49A3-AAFA-8D4382700CBA}"/>
    <cellStyle name="Normal 5 4 2 3 2 2 3" xfId="11615" xr:uid="{DCA31D8A-4241-46A1-8BDD-ECD649969A6C}"/>
    <cellStyle name="Normal 5 4 2 3 2 3" xfId="5246" xr:uid="{00000000-0005-0000-0000-0000DB1A0000}"/>
    <cellStyle name="Normal 5 4 2 3 2 3 2" xfId="13688" xr:uid="{097B8D7F-3002-421F-BADD-90DA402A6270}"/>
    <cellStyle name="Normal 5 4 2 3 2 4" xfId="9470" xr:uid="{A76666C4-D6F2-4E46-91B5-48F30511765C}"/>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ACB690C8-FA6F-43DE-A08D-615CAFE51177}"/>
    <cellStyle name="Normal 5 4 2 3 3 2 3" xfId="12028" xr:uid="{F38B6497-D43D-4D45-B663-A4C150ABDF25}"/>
    <cellStyle name="Normal 5 4 2 3 3 3" xfId="5659" xr:uid="{00000000-0005-0000-0000-0000DF1A0000}"/>
    <cellStyle name="Normal 5 4 2 3 3 3 2" xfId="14101" xr:uid="{DB8EA1FC-5771-4F36-B1F1-B8A531553FA9}"/>
    <cellStyle name="Normal 5 4 2 3 3 4" xfId="9883" xr:uid="{2C43D7FD-9AA7-40A4-9EFE-65092649A5D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0DB27DC7-40D0-453D-9846-CAEAD56343B4}"/>
    <cellStyle name="Normal 5 4 2 3 4 2 3" xfId="12441" xr:uid="{2465C881-CADF-4B61-8E38-095872EAD843}"/>
    <cellStyle name="Normal 5 4 2 3 4 3" xfId="6072" xr:uid="{00000000-0005-0000-0000-0000E31A0000}"/>
    <cellStyle name="Normal 5 4 2 3 4 3 2" xfId="14514" xr:uid="{6F8AF0BC-368F-4F82-978E-F761F5C75FD2}"/>
    <cellStyle name="Normal 5 4 2 3 4 4" xfId="10296" xr:uid="{752B7616-8F96-4CD7-A8BF-8FBC4AB74223}"/>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0CBA8A22-9489-49A3-94AE-D8142A68B979}"/>
    <cellStyle name="Normal 5 4 2 3 5 2 3" xfId="12854" xr:uid="{7854462F-2841-4D94-B675-0375F610142C}"/>
    <cellStyle name="Normal 5 4 2 3 5 3" xfId="6485" xr:uid="{00000000-0005-0000-0000-0000E71A0000}"/>
    <cellStyle name="Normal 5 4 2 3 5 3 2" xfId="14927" xr:uid="{DD7C4DC2-C5B1-4076-883D-89009931C3BE}"/>
    <cellStyle name="Normal 5 4 2 3 5 4" xfId="10709" xr:uid="{A913735F-7670-4E3F-B809-A04112130EB8}"/>
    <cellStyle name="Normal 5 4 2 3 6" xfId="2614" xr:uid="{00000000-0005-0000-0000-0000E81A0000}"/>
    <cellStyle name="Normal 5 4 2 3 6 2" xfId="6898" xr:uid="{00000000-0005-0000-0000-0000E91A0000}"/>
    <cellStyle name="Normal 5 4 2 3 6 2 2" xfId="15340" xr:uid="{7F8D339F-6E5E-4C07-BE51-9A130F7FB02F}"/>
    <cellStyle name="Normal 5 4 2 3 6 3" xfId="11122" xr:uid="{3F76D231-0783-47E0-9A51-AAD56631E8FF}"/>
    <cellStyle name="Normal 5 4 2 3 7" xfId="4833" xr:uid="{00000000-0005-0000-0000-0000EA1A0000}"/>
    <cellStyle name="Normal 5 4 2 3 7 2" xfId="13275" xr:uid="{428EEB79-2F32-474F-BA9A-B1A38A8F0430}"/>
    <cellStyle name="Normal 5 4 2 3 8" xfId="9057" xr:uid="{59A7BA58-6CCD-4986-9000-A1820C27DC69}"/>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B14CBC78-A32B-4131-85DB-B8A758476DB5}"/>
    <cellStyle name="Normal 5 4 2 4 2 3" xfId="11612" xr:uid="{4F0D2DD6-7AD6-4D84-85FC-58BFDC16C970}"/>
    <cellStyle name="Normal 5 4 2 4 3" xfId="5243" xr:uid="{00000000-0005-0000-0000-0000EE1A0000}"/>
    <cellStyle name="Normal 5 4 2 4 3 2" xfId="13685" xr:uid="{850D7298-38C2-47EB-9FA1-85C0950A7ADE}"/>
    <cellStyle name="Normal 5 4 2 4 4" xfId="9467" xr:uid="{CCEC9B44-C09F-4687-93A9-57E8DCA5C0E6}"/>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997B355C-233D-4ECE-B3D4-EA805EC55C0E}"/>
    <cellStyle name="Normal 5 4 2 5 2 3" xfId="12025" xr:uid="{C94308CC-D5B7-4335-A43C-628B0B1A836E}"/>
    <cellStyle name="Normal 5 4 2 5 3" xfId="5656" xr:uid="{00000000-0005-0000-0000-0000F21A0000}"/>
    <cellStyle name="Normal 5 4 2 5 3 2" xfId="14098" xr:uid="{67F5C215-C0EE-4879-B9E9-489791A285C6}"/>
    <cellStyle name="Normal 5 4 2 5 4" xfId="9880" xr:uid="{D0418026-2EAE-4D07-A5C6-2B841AB32F4B}"/>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9BE8AEF2-4C43-44AE-A893-81BFB8451256}"/>
    <cellStyle name="Normal 5 4 2 6 2 3" xfId="12438" xr:uid="{A5227792-8239-46B2-BA35-0FD7A2A6FB88}"/>
    <cellStyle name="Normal 5 4 2 6 3" xfId="6069" xr:uid="{00000000-0005-0000-0000-0000F61A0000}"/>
    <cellStyle name="Normal 5 4 2 6 3 2" xfId="14511" xr:uid="{B863B7D8-4323-42FC-B817-5E26F4699D2A}"/>
    <cellStyle name="Normal 5 4 2 6 4" xfId="10293" xr:uid="{40773123-4C2C-4C6B-ADA2-4653420F2503}"/>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33033E5C-E47D-4EC2-84BC-7741F7247717}"/>
    <cellStyle name="Normal 5 4 2 7 2 3" xfId="12851" xr:uid="{1D2B4FC9-668D-4C82-AA66-E3C15AE1889D}"/>
    <cellStyle name="Normal 5 4 2 7 3" xfId="6482" xr:uid="{00000000-0005-0000-0000-0000FA1A0000}"/>
    <cellStyle name="Normal 5 4 2 7 3 2" xfId="14924" xr:uid="{0899DC4C-7F72-434A-A294-3C88345D2168}"/>
    <cellStyle name="Normal 5 4 2 7 4" xfId="10706" xr:uid="{5BDA8492-E98A-4F48-BE32-CBC87E277EC7}"/>
    <cellStyle name="Normal 5 4 2 8" xfId="2611" xr:uid="{00000000-0005-0000-0000-0000FB1A0000}"/>
    <cellStyle name="Normal 5 4 2 8 2" xfId="6895" xr:uid="{00000000-0005-0000-0000-0000FC1A0000}"/>
    <cellStyle name="Normal 5 4 2 8 2 2" xfId="15337" xr:uid="{47176801-CD5F-4F5B-ACCC-A91AAF789A18}"/>
    <cellStyle name="Normal 5 4 2 8 3" xfId="11119" xr:uid="{411D65BE-C949-4E36-85D3-1A1E263BBEA2}"/>
    <cellStyle name="Normal 5 4 2 9" xfId="4830" xr:uid="{00000000-0005-0000-0000-0000FD1A0000}"/>
    <cellStyle name="Normal 5 4 2 9 2" xfId="13272" xr:uid="{C8F4AA3A-4E08-4D35-B041-C0FBDE90F606}"/>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149670E9-3453-46DA-967B-ABE68413A826}"/>
    <cellStyle name="Normal 5 4 3 2 2 2 3" xfId="11617" xr:uid="{8FD9A8AE-D02A-4537-BDA0-9A55162247E4}"/>
    <cellStyle name="Normal 5 4 3 2 2 3" xfId="5248" xr:uid="{00000000-0005-0000-0000-0000031B0000}"/>
    <cellStyle name="Normal 5 4 3 2 2 3 2" xfId="13690" xr:uid="{21BC90B2-975E-4DBB-B781-4B7E401D292E}"/>
    <cellStyle name="Normal 5 4 3 2 2 4" xfId="9472" xr:uid="{BD70212F-5708-42A7-AE4A-D01895AF61D4}"/>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CC544D7C-1054-403D-B6B2-0D6140BA1902}"/>
    <cellStyle name="Normal 5 4 3 2 3 2 3" xfId="12030" xr:uid="{1AAC88AB-DB99-47A6-BA3E-665BB6E01A05}"/>
    <cellStyle name="Normal 5 4 3 2 3 3" xfId="5661" xr:uid="{00000000-0005-0000-0000-0000071B0000}"/>
    <cellStyle name="Normal 5 4 3 2 3 3 2" xfId="14103" xr:uid="{6F7F5097-87CB-4F0C-A816-825BFEFEB62F}"/>
    <cellStyle name="Normal 5 4 3 2 3 4" xfId="9885" xr:uid="{4EA67051-EFD9-4DE0-8802-816A2E4D1B52}"/>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D37A5115-A4F6-40DA-A985-44075B1287F9}"/>
    <cellStyle name="Normal 5 4 3 2 4 2 3" xfId="12443" xr:uid="{24E10BFB-52B0-436C-A6E7-7176AF2EF185}"/>
    <cellStyle name="Normal 5 4 3 2 4 3" xfId="6074" xr:uid="{00000000-0005-0000-0000-00000B1B0000}"/>
    <cellStyle name="Normal 5 4 3 2 4 3 2" xfId="14516" xr:uid="{56C1CB3C-3EFC-4C69-BA34-F9A74F8D5D18}"/>
    <cellStyle name="Normal 5 4 3 2 4 4" xfId="10298" xr:uid="{3E165209-406F-4C59-8F09-A812EAE84FF8}"/>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3492ABE-0DC7-41BA-95A5-C0D399FAA867}"/>
    <cellStyle name="Normal 5 4 3 2 5 2 3" xfId="12856" xr:uid="{58ED840B-C544-4F68-88A4-5B6687D5573B}"/>
    <cellStyle name="Normal 5 4 3 2 5 3" xfId="6487" xr:uid="{00000000-0005-0000-0000-00000F1B0000}"/>
    <cellStyle name="Normal 5 4 3 2 5 3 2" xfId="14929" xr:uid="{D5772C01-53E0-4F36-8CC1-641BE53AFA9B}"/>
    <cellStyle name="Normal 5 4 3 2 5 4" xfId="10711" xr:uid="{76BDF5DF-B666-410C-8AD6-0304DCB422F1}"/>
    <cellStyle name="Normal 5 4 3 2 6" xfId="2616" xr:uid="{00000000-0005-0000-0000-0000101B0000}"/>
    <cellStyle name="Normal 5 4 3 2 6 2" xfId="6900" xr:uid="{00000000-0005-0000-0000-0000111B0000}"/>
    <cellStyle name="Normal 5 4 3 2 6 2 2" xfId="15342" xr:uid="{E96C24EA-5D2E-41F3-BA08-F489749438A5}"/>
    <cellStyle name="Normal 5 4 3 2 6 3" xfId="11124" xr:uid="{650C0FF5-0AEE-40BE-81F4-49C146D17894}"/>
    <cellStyle name="Normal 5 4 3 2 7" xfId="4835" xr:uid="{00000000-0005-0000-0000-0000121B0000}"/>
    <cellStyle name="Normal 5 4 3 2 7 2" xfId="13277" xr:uid="{CC4A5B70-53FC-4ECF-BF81-AB36FF0B599E}"/>
    <cellStyle name="Normal 5 4 3 2 8" xfId="9059" xr:uid="{F89E686F-807D-4DA5-BD57-D09D753EE669}"/>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6230F0ED-BA03-4DA3-93B2-D64FE37D0BF9}"/>
    <cellStyle name="Normal 5 4 3 3 2 3" xfId="11616" xr:uid="{ADC6E9D3-6CA5-434E-A5B2-11BE3261C51D}"/>
    <cellStyle name="Normal 5 4 3 3 3" xfId="5247" xr:uid="{00000000-0005-0000-0000-0000161B0000}"/>
    <cellStyle name="Normal 5 4 3 3 3 2" xfId="13689" xr:uid="{90CF8E78-7D6F-4875-BDAB-703248FDFE13}"/>
    <cellStyle name="Normal 5 4 3 3 4" xfId="9471" xr:uid="{F8323FCB-E6CB-4C85-9000-FCE903D6A22C}"/>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0D629F01-4404-4318-AAAB-3B6658E05C48}"/>
    <cellStyle name="Normal 5 4 3 4 2 3" xfId="12029" xr:uid="{9F4E8934-16B7-4EC7-97CA-67E8B540A3F8}"/>
    <cellStyle name="Normal 5 4 3 4 3" xfId="5660" xr:uid="{00000000-0005-0000-0000-00001A1B0000}"/>
    <cellStyle name="Normal 5 4 3 4 3 2" xfId="14102" xr:uid="{87C6976A-BF8A-40C0-A7C5-A6EB2BF6892D}"/>
    <cellStyle name="Normal 5 4 3 4 4" xfId="9884" xr:uid="{71C20484-C3A3-4A92-9C95-7E51834865AD}"/>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86D87219-82E6-4DF0-A344-3B71202969DA}"/>
    <cellStyle name="Normal 5 4 3 5 2 3" xfId="12442" xr:uid="{785A2C9C-68D6-4C6E-AE4A-7AD1309725F7}"/>
    <cellStyle name="Normal 5 4 3 5 3" xfId="6073" xr:uid="{00000000-0005-0000-0000-00001E1B0000}"/>
    <cellStyle name="Normal 5 4 3 5 3 2" xfId="14515" xr:uid="{9C1716EA-AF45-4CFC-8F19-B72DC556AE27}"/>
    <cellStyle name="Normal 5 4 3 5 4" xfId="10297" xr:uid="{5D804E52-E83D-44B8-A82A-66FE1608BD2E}"/>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6D35325E-65FC-4F2F-9857-8C593C069B09}"/>
    <cellStyle name="Normal 5 4 3 6 2 3" xfId="12855" xr:uid="{E7072445-BEE7-4B69-B98A-09AB22823E73}"/>
    <cellStyle name="Normal 5 4 3 6 3" xfId="6486" xr:uid="{00000000-0005-0000-0000-0000221B0000}"/>
    <cellStyle name="Normal 5 4 3 6 3 2" xfId="14928" xr:uid="{0D96C9C9-0BEB-4C6F-B1E5-DE70BAD8CA23}"/>
    <cellStyle name="Normal 5 4 3 6 4" xfId="10710" xr:uid="{E0A71B4B-BF53-480E-A832-0B1514E1F68F}"/>
    <cellStyle name="Normal 5 4 3 7" xfId="2615" xr:uid="{00000000-0005-0000-0000-0000231B0000}"/>
    <cellStyle name="Normal 5 4 3 7 2" xfId="6899" xr:uid="{00000000-0005-0000-0000-0000241B0000}"/>
    <cellStyle name="Normal 5 4 3 7 2 2" xfId="15341" xr:uid="{2726C2F1-C4D5-47AC-A28C-1C8EA56807EE}"/>
    <cellStyle name="Normal 5 4 3 7 3" xfId="11123" xr:uid="{DA471F02-4799-43F6-AABC-79BB67141B9C}"/>
    <cellStyle name="Normal 5 4 3 8" xfId="4834" xr:uid="{00000000-0005-0000-0000-0000251B0000}"/>
    <cellStyle name="Normal 5 4 3 8 2" xfId="13276" xr:uid="{12A0717B-80A6-46AD-B369-D487B41B02CE}"/>
    <cellStyle name="Normal 5 4 3 9" xfId="9058" xr:uid="{8971B5E4-680D-469B-885C-6186E968F12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B92BE3BE-A55F-42EF-B1B4-3E0C80C02044}"/>
    <cellStyle name="Normal 5 4 4 2 2 3" xfId="11618" xr:uid="{4A4E6869-1DFB-47C3-BEE0-EAB4BECCAB3A}"/>
    <cellStyle name="Normal 5 4 4 2 3" xfId="5249" xr:uid="{00000000-0005-0000-0000-00002A1B0000}"/>
    <cellStyle name="Normal 5 4 4 2 3 2" xfId="13691" xr:uid="{34BE1953-051C-42E8-978F-EE7DC436374A}"/>
    <cellStyle name="Normal 5 4 4 2 4" xfId="9473" xr:uid="{2FF0BBB7-5319-4806-AF84-AA718EAE6776}"/>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30563947-4958-4145-B318-29910554C7F1}"/>
    <cellStyle name="Normal 5 4 4 3 2 3" xfId="12031" xr:uid="{A344AEDC-FCD6-4E3B-A901-2DC4D3A6A5D0}"/>
    <cellStyle name="Normal 5 4 4 3 3" xfId="5662" xr:uid="{00000000-0005-0000-0000-00002E1B0000}"/>
    <cellStyle name="Normal 5 4 4 3 3 2" xfId="14104" xr:uid="{1D5B10D8-0C8E-4257-8D2E-4981C3130B5B}"/>
    <cellStyle name="Normal 5 4 4 3 4" xfId="9886" xr:uid="{7B45914E-53C1-4878-8D45-0ED0BE50B5CA}"/>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272AA2AA-D693-4F30-A7B8-836EB03F1557}"/>
    <cellStyle name="Normal 5 4 4 4 2 3" xfId="12444" xr:uid="{F5972CF7-A511-43C0-837B-9FE96FD6F27A}"/>
    <cellStyle name="Normal 5 4 4 4 3" xfId="6075" xr:uid="{00000000-0005-0000-0000-0000321B0000}"/>
    <cellStyle name="Normal 5 4 4 4 3 2" xfId="14517" xr:uid="{E323DDB7-4B95-482F-927B-9BE6C0A42B18}"/>
    <cellStyle name="Normal 5 4 4 4 4" xfId="10299" xr:uid="{EC36A39A-28E4-4850-9336-EE8AF118F871}"/>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7D749085-BE5B-4A93-84C8-C6B9A6E7DE5A}"/>
    <cellStyle name="Normal 5 4 4 5 2 3" xfId="12857" xr:uid="{26B6132B-4FC1-4C0D-958E-6AF650752A71}"/>
    <cellStyle name="Normal 5 4 4 5 3" xfId="6488" xr:uid="{00000000-0005-0000-0000-0000361B0000}"/>
    <cellStyle name="Normal 5 4 4 5 3 2" xfId="14930" xr:uid="{AF16FF75-54CC-400F-85BD-09F77535F135}"/>
    <cellStyle name="Normal 5 4 4 5 4" xfId="10712" xr:uid="{E840897E-5229-4815-947E-996E822DB6B6}"/>
    <cellStyle name="Normal 5 4 4 6" xfId="2617" xr:uid="{00000000-0005-0000-0000-0000371B0000}"/>
    <cellStyle name="Normal 5 4 4 6 2" xfId="6901" xr:uid="{00000000-0005-0000-0000-0000381B0000}"/>
    <cellStyle name="Normal 5 4 4 6 2 2" xfId="15343" xr:uid="{F2EF5B92-CEB4-43BF-A008-87A1749A0E33}"/>
    <cellStyle name="Normal 5 4 4 6 3" xfId="11125" xr:uid="{3291E410-0E84-4ADA-8FA6-8F1450CA3852}"/>
    <cellStyle name="Normal 5 4 4 7" xfId="4836" xr:uid="{00000000-0005-0000-0000-0000391B0000}"/>
    <cellStyle name="Normal 5 4 4 7 2" xfId="13278" xr:uid="{C0056179-83E6-4124-90D2-2049C9C4D621}"/>
    <cellStyle name="Normal 5 4 4 8" xfId="9060" xr:uid="{05DBD237-9C22-4A33-BAC1-1CDF60C8714A}"/>
    <cellStyle name="Normal 5 4 5" xfId="930" xr:uid="{00000000-0005-0000-0000-00003A1B0000}"/>
    <cellStyle name="Normal 5 4 5 2" xfId="3164" xr:uid="{00000000-0005-0000-0000-00003B1B0000}"/>
    <cellStyle name="Normal 5 4 5 2 2" xfId="7387" xr:uid="{00000000-0005-0000-0000-00003C1B0000}"/>
    <cellStyle name="Normal 5 4 5 2 2 2" xfId="15829" xr:uid="{A2E8E3A2-7AA8-4242-96F8-BE562B815BC5}"/>
    <cellStyle name="Normal 5 4 5 2 3" xfId="11611" xr:uid="{25BD2005-D485-419C-8710-D5191D04621A}"/>
    <cellStyle name="Normal 5 4 5 3" xfId="5242" xr:uid="{00000000-0005-0000-0000-00003D1B0000}"/>
    <cellStyle name="Normal 5 4 5 3 2" xfId="13684" xr:uid="{B093176B-5255-43B4-BFD8-0E488B4D1A54}"/>
    <cellStyle name="Normal 5 4 5 4" xfId="9466" xr:uid="{814629E4-985E-4D86-82A3-62C97B5CD6B0}"/>
    <cellStyle name="Normal 5 4 6" xfId="1347" xr:uid="{00000000-0005-0000-0000-00003E1B0000}"/>
    <cellStyle name="Normal 5 4 6 2" xfId="3577" xr:uid="{00000000-0005-0000-0000-00003F1B0000}"/>
    <cellStyle name="Normal 5 4 6 2 2" xfId="7800" xr:uid="{00000000-0005-0000-0000-0000401B0000}"/>
    <cellStyle name="Normal 5 4 6 2 2 2" xfId="16242" xr:uid="{FCD16F86-1FCB-4EEE-9076-888DB92C0CB1}"/>
    <cellStyle name="Normal 5 4 6 2 3" xfId="12024" xr:uid="{E8797459-BE0E-4BBD-852F-41AD7F900385}"/>
    <cellStyle name="Normal 5 4 6 3" xfId="5655" xr:uid="{00000000-0005-0000-0000-0000411B0000}"/>
    <cellStyle name="Normal 5 4 6 3 2" xfId="14097" xr:uid="{A7D7FAF0-8D92-413F-AEDD-A54079E743F0}"/>
    <cellStyle name="Normal 5 4 6 4" xfId="9879" xr:uid="{07A44F24-2BE0-4D6D-B88F-D7DFA40EC107}"/>
    <cellStyle name="Normal 5 4 7" xfId="1760" xr:uid="{00000000-0005-0000-0000-0000421B0000}"/>
    <cellStyle name="Normal 5 4 7 2" xfId="3990" xr:uid="{00000000-0005-0000-0000-0000431B0000}"/>
    <cellStyle name="Normal 5 4 7 2 2" xfId="8213" xr:uid="{00000000-0005-0000-0000-0000441B0000}"/>
    <cellStyle name="Normal 5 4 7 2 2 2" xfId="16655" xr:uid="{A097312F-793F-47DE-8AB0-959ED7533F78}"/>
    <cellStyle name="Normal 5 4 7 2 3" xfId="12437" xr:uid="{CED2759F-5DC5-4CDF-8B27-EEDE5984C859}"/>
    <cellStyle name="Normal 5 4 7 3" xfId="6068" xr:uid="{00000000-0005-0000-0000-0000451B0000}"/>
    <cellStyle name="Normal 5 4 7 3 2" xfId="14510" xr:uid="{8ED65EE5-BDF8-416D-90FD-0E15CAAE2CF7}"/>
    <cellStyle name="Normal 5 4 7 4" xfId="10292" xr:uid="{855067D5-4C8F-49D2-85A9-CB56F9237C54}"/>
    <cellStyle name="Normal 5 4 8" xfId="2174" xr:uid="{00000000-0005-0000-0000-0000461B0000}"/>
    <cellStyle name="Normal 5 4 8 2" xfId="4403" xr:uid="{00000000-0005-0000-0000-0000471B0000}"/>
    <cellStyle name="Normal 5 4 8 2 2" xfId="8626" xr:uid="{00000000-0005-0000-0000-0000481B0000}"/>
    <cellStyle name="Normal 5 4 8 2 2 2" xfId="17068" xr:uid="{E4E7411E-5873-4AC9-9BDD-A70A342740BC}"/>
    <cellStyle name="Normal 5 4 8 2 3" xfId="12850" xr:uid="{2E8FA29A-32BD-43F0-AF44-A7329F181565}"/>
    <cellStyle name="Normal 5 4 8 3" xfId="6481" xr:uid="{00000000-0005-0000-0000-0000491B0000}"/>
    <cellStyle name="Normal 5 4 8 3 2" xfId="14923" xr:uid="{263BC949-B036-4133-AEEA-9ECC456E96E8}"/>
    <cellStyle name="Normal 5 4 8 4" xfId="10705" xr:uid="{62D5A66D-1418-4CDA-BA17-5696960A1549}"/>
    <cellStyle name="Normal 5 4 9" xfId="2610" xr:uid="{00000000-0005-0000-0000-00004A1B0000}"/>
    <cellStyle name="Normal 5 4 9 2" xfId="6894" xr:uid="{00000000-0005-0000-0000-00004B1B0000}"/>
    <cellStyle name="Normal 5 4 9 2 2" xfId="15336" xr:uid="{35F56AFC-43A1-458D-8C69-62C6ECE04A97}"/>
    <cellStyle name="Normal 5 4 9 3" xfId="11118" xr:uid="{858A9973-0AFB-4F7F-8A0D-A16B2CF1AE22}"/>
    <cellStyle name="Normal 5 5" xfId="464" xr:uid="{00000000-0005-0000-0000-00004C1B0000}"/>
    <cellStyle name="Normal 5 5 10" xfId="9061" xr:uid="{492CB199-7ED5-4606-88CC-58A6B069819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D608E7F-1CF3-40E5-ABB2-00FA2BE17148}"/>
    <cellStyle name="Normal 5 5 2 2 2 2 3" xfId="11621" xr:uid="{B54D33ED-3CD6-41D2-9026-7B37DDFA3B54}"/>
    <cellStyle name="Normal 5 5 2 2 2 3" xfId="5252" xr:uid="{00000000-0005-0000-0000-0000521B0000}"/>
    <cellStyle name="Normal 5 5 2 2 2 3 2" xfId="13694" xr:uid="{352D037F-5D28-4DE4-BBED-F29176AEADA7}"/>
    <cellStyle name="Normal 5 5 2 2 2 4" xfId="9476" xr:uid="{2CD3A828-E5DD-4C28-A4C8-DCA4C04417EC}"/>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67FEB48B-6609-4C58-A6DC-00C6E94E1110}"/>
    <cellStyle name="Normal 5 5 2 2 3 2 3" xfId="12034" xr:uid="{EFFB8AB9-D937-4D8E-9DCF-D79715B9F267}"/>
    <cellStyle name="Normal 5 5 2 2 3 3" xfId="5665" xr:uid="{00000000-0005-0000-0000-0000561B0000}"/>
    <cellStyle name="Normal 5 5 2 2 3 3 2" xfId="14107" xr:uid="{5703C9AE-CB64-49AF-BAA4-CE15E3276D5A}"/>
    <cellStyle name="Normal 5 5 2 2 3 4" xfId="9889" xr:uid="{4B252733-DCEE-4646-AFAC-D92F4212A13B}"/>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C978BDC6-8982-43FA-ACA1-2482EF6D63DC}"/>
    <cellStyle name="Normal 5 5 2 2 4 2 3" xfId="12447" xr:uid="{FFAE92F5-4D0F-45D2-A9D6-4844916EFB39}"/>
    <cellStyle name="Normal 5 5 2 2 4 3" xfId="6078" xr:uid="{00000000-0005-0000-0000-00005A1B0000}"/>
    <cellStyle name="Normal 5 5 2 2 4 3 2" xfId="14520" xr:uid="{CEB1EF25-2D6B-418F-ACD5-138BA25C13A8}"/>
    <cellStyle name="Normal 5 5 2 2 4 4" xfId="10302" xr:uid="{540149F2-FF22-4BD2-A832-2FE8E8732384}"/>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BC12987-58C6-4F8B-B069-7EDB0A658DAF}"/>
    <cellStyle name="Normal 5 5 2 2 5 2 3" xfId="12860" xr:uid="{F9AE5676-7E1F-43BA-A10C-F057F430176C}"/>
    <cellStyle name="Normal 5 5 2 2 5 3" xfId="6491" xr:uid="{00000000-0005-0000-0000-00005E1B0000}"/>
    <cellStyle name="Normal 5 5 2 2 5 3 2" xfId="14933" xr:uid="{4937E998-A42F-4161-BC68-B224C11CA657}"/>
    <cellStyle name="Normal 5 5 2 2 5 4" xfId="10715" xr:uid="{E5E12996-807C-437B-8507-4AA74F01E69E}"/>
    <cellStyle name="Normal 5 5 2 2 6" xfId="2620" xr:uid="{00000000-0005-0000-0000-00005F1B0000}"/>
    <cellStyle name="Normal 5 5 2 2 6 2" xfId="6904" xr:uid="{00000000-0005-0000-0000-0000601B0000}"/>
    <cellStyle name="Normal 5 5 2 2 6 2 2" xfId="15346" xr:uid="{A72D4D7C-7407-4B31-A0D5-6F4D5EF6BC37}"/>
    <cellStyle name="Normal 5 5 2 2 6 3" xfId="11128" xr:uid="{B96D3575-8E26-4A54-9EF4-3B81F6F14E48}"/>
    <cellStyle name="Normal 5 5 2 2 7" xfId="4839" xr:uid="{00000000-0005-0000-0000-0000611B0000}"/>
    <cellStyle name="Normal 5 5 2 2 7 2" xfId="13281" xr:uid="{15D50E7B-0582-4269-B077-57F19422479C}"/>
    <cellStyle name="Normal 5 5 2 2 8" xfId="9063" xr:uid="{1940C278-2A1F-4D3B-BA4A-3C02EF44860F}"/>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028EBB73-27AD-421F-ADDF-00A219B0DE89}"/>
    <cellStyle name="Normal 5 5 2 3 2 3" xfId="11620" xr:uid="{DD72D25A-3BF7-4821-ABE5-99845A8B6B59}"/>
    <cellStyle name="Normal 5 5 2 3 3" xfId="5251" xr:uid="{00000000-0005-0000-0000-0000651B0000}"/>
    <cellStyle name="Normal 5 5 2 3 3 2" xfId="13693" xr:uid="{72C94B40-5DFB-47C3-A0BA-61B871586EC7}"/>
    <cellStyle name="Normal 5 5 2 3 4" xfId="9475" xr:uid="{44766F5C-B293-417D-BA29-301028F3A9D6}"/>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1804F1D5-1CB9-425A-8327-10B29C526E3B}"/>
    <cellStyle name="Normal 5 5 2 4 2 3" xfId="12033" xr:uid="{F884713F-8A1B-42E7-8E97-62AA7E97071C}"/>
    <cellStyle name="Normal 5 5 2 4 3" xfId="5664" xr:uid="{00000000-0005-0000-0000-0000691B0000}"/>
    <cellStyle name="Normal 5 5 2 4 3 2" xfId="14106" xr:uid="{CEC2881A-E69A-4CB1-B3C3-BD6717201EDB}"/>
    <cellStyle name="Normal 5 5 2 4 4" xfId="9888" xr:uid="{875E9EE3-CAD5-4D99-90E6-B758DA48F99D}"/>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AA9F5137-094B-4691-B88F-17755BAD8559}"/>
    <cellStyle name="Normal 5 5 2 5 2 3" xfId="12446" xr:uid="{FA91E4B9-3AEA-44B7-98EA-6BADBE1F8538}"/>
    <cellStyle name="Normal 5 5 2 5 3" xfId="6077" xr:uid="{00000000-0005-0000-0000-00006D1B0000}"/>
    <cellStyle name="Normal 5 5 2 5 3 2" xfId="14519" xr:uid="{F557B983-F393-4F76-93EE-29E61DFB4367}"/>
    <cellStyle name="Normal 5 5 2 5 4" xfId="10301" xr:uid="{A73EE1FB-704C-4E23-95A7-E352CC92C886}"/>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E793845E-A735-4128-BBA2-07D3B1D8586B}"/>
    <cellStyle name="Normal 5 5 2 6 2 3" xfId="12859" xr:uid="{0633E819-1FA8-4E9D-B7C0-79E51E3051A6}"/>
    <cellStyle name="Normal 5 5 2 6 3" xfId="6490" xr:uid="{00000000-0005-0000-0000-0000711B0000}"/>
    <cellStyle name="Normal 5 5 2 6 3 2" xfId="14932" xr:uid="{CB3E00A9-DB95-447A-9A89-B8CEE8676F68}"/>
    <cellStyle name="Normal 5 5 2 6 4" xfId="10714" xr:uid="{B52A95E3-157B-4780-9CCD-660153BDB318}"/>
    <cellStyle name="Normal 5 5 2 7" xfId="2619" xr:uid="{00000000-0005-0000-0000-0000721B0000}"/>
    <cellStyle name="Normal 5 5 2 7 2" xfId="6903" xr:uid="{00000000-0005-0000-0000-0000731B0000}"/>
    <cellStyle name="Normal 5 5 2 7 2 2" xfId="15345" xr:uid="{ACC32A98-2628-4E2F-AFF4-22C8E45980C8}"/>
    <cellStyle name="Normal 5 5 2 7 3" xfId="11127" xr:uid="{EB881955-3A04-4B3F-9499-98E19D86A8A0}"/>
    <cellStyle name="Normal 5 5 2 8" xfId="4838" xr:uid="{00000000-0005-0000-0000-0000741B0000}"/>
    <cellStyle name="Normal 5 5 2 8 2" xfId="13280" xr:uid="{DF3F45A0-8EDE-4E98-9603-2931160860EE}"/>
    <cellStyle name="Normal 5 5 2 9" xfId="9062" xr:uid="{4E14D2E3-EE71-47BF-89D1-D0C1C863DBB2}"/>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0575C0E7-BE36-4B19-995D-9765183928E8}"/>
    <cellStyle name="Normal 5 5 3 2 2 3" xfId="11622" xr:uid="{A56C5386-42BD-420B-B06F-77AE3AAABB3C}"/>
    <cellStyle name="Normal 5 5 3 2 3" xfId="5253" xr:uid="{00000000-0005-0000-0000-0000791B0000}"/>
    <cellStyle name="Normal 5 5 3 2 3 2" xfId="13695" xr:uid="{A6983861-1F79-446B-92CA-72870DFB23A3}"/>
    <cellStyle name="Normal 5 5 3 2 4" xfId="9477" xr:uid="{28023326-C5EA-4888-A063-5B3E61C1116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D02F2B27-51A6-4F9C-8CE7-4A4B4865FB82}"/>
    <cellStyle name="Normal 5 5 3 3 2 3" xfId="12035" xr:uid="{5C9FB89E-137A-4E60-84E4-94C531F9225C}"/>
    <cellStyle name="Normal 5 5 3 3 3" xfId="5666" xr:uid="{00000000-0005-0000-0000-00007D1B0000}"/>
    <cellStyle name="Normal 5 5 3 3 3 2" xfId="14108" xr:uid="{63202251-FF7B-4613-B1D2-C23C373E3C5C}"/>
    <cellStyle name="Normal 5 5 3 3 4" xfId="9890" xr:uid="{BCC25E29-CAB7-4721-8B4D-CA3C0660B287}"/>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D1BF7535-219A-43A2-B4E3-FBDC70C9EE32}"/>
    <cellStyle name="Normal 5 5 3 4 2 3" xfId="12448" xr:uid="{53BF8A49-7CFD-4F52-B62E-DA2A5F0F952F}"/>
    <cellStyle name="Normal 5 5 3 4 3" xfId="6079" xr:uid="{00000000-0005-0000-0000-0000811B0000}"/>
    <cellStyle name="Normal 5 5 3 4 3 2" xfId="14521" xr:uid="{328E36B7-3FB4-4762-8E5A-2872AFF888A8}"/>
    <cellStyle name="Normal 5 5 3 4 4" xfId="10303" xr:uid="{F0FFC42F-0176-47A9-AE65-F04D1E19B4AF}"/>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5142F559-C92B-4D45-BCBB-BBB7C0E1DD35}"/>
    <cellStyle name="Normal 5 5 3 5 2 3" xfId="12861" xr:uid="{96D4250A-373D-48E1-B4FD-BE388B06E902}"/>
    <cellStyle name="Normal 5 5 3 5 3" xfId="6492" xr:uid="{00000000-0005-0000-0000-0000851B0000}"/>
    <cellStyle name="Normal 5 5 3 5 3 2" xfId="14934" xr:uid="{4B5E85EF-121B-49F2-8BA0-F30C7950E593}"/>
    <cellStyle name="Normal 5 5 3 5 4" xfId="10716" xr:uid="{FDE3DA00-0A77-48EB-8083-C6CF9DE25E05}"/>
    <cellStyle name="Normal 5 5 3 6" xfId="2621" xr:uid="{00000000-0005-0000-0000-0000861B0000}"/>
    <cellStyle name="Normal 5 5 3 6 2" xfId="6905" xr:uid="{00000000-0005-0000-0000-0000871B0000}"/>
    <cellStyle name="Normal 5 5 3 6 2 2" xfId="15347" xr:uid="{0DFAB9F0-4D59-4DF9-97FA-DA1B737AB5D1}"/>
    <cellStyle name="Normal 5 5 3 6 3" xfId="11129" xr:uid="{09F52969-21EC-4F3D-9102-DFA681DD87BB}"/>
    <cellStyle name="Normal 5 5 3 7" xfId="4840" xr:uid="{00000000-0005-0000-0000-0000881B0000}"/>
    <cellStyle name="Normal 5 5 3 7 2" xfId="13282" xr:uid="{6ED15B0C-6624-4B10-9A29-AB945D36CBAF}"/>
    <cellStyle name="Normal 5 5 3 8" xfId="9064" xr:uid="{0E7FE26F-531F-4639-98B0-8F8277F5AA70}"/>
    <cellStyle name="Normal 5 5 4" xfId="938" xr:uid="{00000000-0005-0000-0000-0000891B0000}"/>
    <cellStyle name="Normal 5 5 4 2" xfId="3172" xr:uid="{00000000-0005-0000-0000-00008A1B0000}"/>
    <cellStyle name="Normal 5 5 4 2 2" xfId="7395" xr:uid="{00000000-0005-0000-0000-00008B1B0000}"/>
    <cellStyle name="Normal 5 5 4 2 2 2" xfId="15837" xr:uid="{3EE144F4-53A7-47D4-A754-3882B09B2016}"/>
    <cellStyle name="Normal 5 5 4 2 3" xfId="11619" xr:uid="{279EB7CF-9C3F-4913-8854-DA49A6888DB0}"/>
    <cellStyle name="Normal 5 5 4 3" xfId="5250" xr:uid="{00000000-0005-0000-0000-00008C1B0000}"/>
    <cellStyle name="Normal 5 5 4 3 2" xfId="13692" xr:uid="{182A16B8-E9B2-4947-8D1D-A94DB62B4129}"/>
    <cellStyle name="Normal 5 5 4 4" xfId="9474" xr:uid="{CB72ACC1-496D-4309-B666-D7015F88EB1E}"/>
    <cellStyle name="Normal 5 5 5" xfId="1355" xr:uid="{00000000-0005-0000-0000-00008D1B0000}"/>
    <cellStyle name="Normal 5 5 5 2" xfId="3585" xr:uid="{00000000-0005-0000-0000-00008E1B0000}"/>
    <cellStyle name="Normal 5 5 5 2 2" xfId="7808" xr:uid="{00000000-0005-0000-0000-00008F1B0000}"/>
    <cellStyle name="Normal 5 5 5 2 2 2" xfId="16250" xr:uid="{68285BA5-A3F7-484F-BA5C-E2FE51B4BBDB}"/>
    <cellStyle name="Normal 5 5 5 2 3" xfId="12032" xr:uid="{7BFD26A6-8D6B-4191-AF72-77214A4FAD74}"/>
    <cellStyle name="Normal 5 5 5 3" xfId="5663" xr:uid="{00000000-0005-0000-0000-0000901B0000}"/>
    <cellStyle name="Normal 5 5 5 3 2" xfId="14105" xr:uid="{D8460C77-84A1-4FEC-8039-AEA256A81026}"/>
    <cellStyle name="Normal 5 5 5 4" xfId="9887" xr:uid="{1061163C-D110-4518-B3F6-42B73A334401}"/>
    <cellStyle name="Normal 5 5 6" xfId="1768" xr:uid="{00000000-0005-0000-0000-0000911B0000}"/>
    <cellStyle name="Normal 5 5 6 2" xfId="3998" xr:uid="{00000000-0005-0000-0000-0000921B0000}"/>
    <cellStyle name="Normal 5 5 6 2 2" xfId="8221" xr:uid="{00000000-0005-0000-0000-0000931B0000}"/>
    <cellStyle name="Normal 5 5 6 2 2 2" xfId="16663" xr:uid="{C97C62CD-8250-4AE6-9FD4-6D74514E6D04}"/>
    <cellStyle name="Normal 5 5 6 2 3" xfId="12445" xr:uid="{3615772B-AC01-487A-9EE3-EF67C1EF0A4C}"/>
    <cellStyle name="Normal 5 5 6 3" xfId="6076" xr:uid="{00000000-0005-0000-0000-0000941B0000}"/>
    <cellStyle name="Normal 5 5 6 3 2" xfId="14518" xr:uid="{86D5A2EE-EED6-4C3C-AC91-41B1EAE5A2B9}"/>
    <cellStyle name="Normal 5 5 6 4" xfId="10300" xr:uid="{39E68D78-22A1-451B-92A4-D2EF445BA9DA}"/>
    <cellStyle name="Normal 5 5 7" xfId="2182" xr:uid="{00000000-0005-0000-0000-0000951B0000}"/>
    <cellStyle name="Normal 5 5 7 2" xfId="4411" xr:uid="{00000000-0005-0000-0000-0000961B0000}"/>
    <cellStyle name="Normal 5 5 7 2 2" xfId="8634" xr:uid="{00000000-0005-0000-0000-0000971B0000}"/>
    <cellStyle name="Normal 5 5 7 2 2 2" xfId="17076" xr:uid="{298C07E9-51AC-4795-AE81-638D34F83CF8}"/>
    <cellStyle name="Normal 5 5 7 2 3" xfId="12858" xr:uid="{05769375-F86C-46CB-B63C-C8B8009CB420}"/>
    <cellStyle name="Normal 5 5 7 3" xfId="6489" xr:uid="{00000000-0005-0000-0000-0000981B0000}"/>
    <cellStyle name="Normal 5 5 7 3 2" xfId="14931" xr:uid="{7123EC13-5C8B-4BEB-BA68-896B48E22DC4}"/>
    <cellStyle name="Normal 5 5 7 4" xfId="10713" xr:uid="{1E556443-9AEF-4EB5-8C9E-9287EA8DBF9D}"/>
    <cellStyle name="Normal 5 5 8" xfId="2618" xr:uid="{00000000-0005-0000-0000-0000991B0000}"/>
    <cellStyle name="Normal 5 5 8 2" xfId="6902" xr:uid="{00000000-0005-0000-0000-00009A1B0000}"/>
    <cellStyle name="Normal 5 5 8 2 2" xfId="15344" xr:uid="{C966AF36-728F-45EC-8607-7408915295E3}"/>
    <cellStyle name="Normal 5 5 8 3" xfId="11126" xr:uid="{F50A5C82-D19C-4920-85E3-A9F2F9FAF159}"/>
    <cellStyle name="Normal 5 5 9" xfId="4837" xr:uid="{00000000-0005-0000-0000-00009B1B0000}"/>
    <cellStyle name="Normal 5 5 9 2" xfId="13279" xr:uid="{7742B208-11A0-426B-AE44-902696791B53}"/>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D22CAB81-BD86-43F8-969C-37097057080C}"/>
    <cellStyle name="Normal 5 6 2 2 2 3" xfId="11624" xr:uid="{BF037EE0-48BA-436C-A086-01A8C7A19B17}"/>
    <cellStyle name="Normal 5 6 2 2 3" xfId="5255" xr:uid="{00000000-0005-0000-0000-0000A11B0000}"/>
    <cellStyle name="Normal 5 6 2 2 3 2" xfId="13697" xr:uid="{680EE4E4-362C-4B90-987D-984142708777}"/>
    <cellStyle name="Normal 5 6 2 2 4" xfId="9479" xr:uid="{A14A191B-D2C9-4976-80E5-25EEBA06A63E}"/>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254CB4AF-EBBF-42F8-B97A-3A756EA7E492}"/>
    <cellStyle name="Normal 5 6 2 3 2 3" xfId="12037" xr:uid="{44A32548-5D8E-41AD-8345-06C51FEE26B3}"/>
    <cellStyle name="Normal 5 6 2 3 3" xfId="5668" xr:uid="{00000000-0005-0000-0000-0000A51B0000}"/>
    <cellStyle name="Normal 5 6 2 3 3 2" xfId="14110" xr:uid="{5D280A2F-0CE6-47F3-86F4-C81A716ACFDD}"/>
    <cellStyle name="Normal 5 6 2 3 4" xfId="9892" xr:uid="{5D36F838-799A-469A-9A2B-409C417C40CA}"/>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6C4979D5-229C-4683-A23A-3A514BCF7575}"/>
    <cellStyle name="Normal 5 6 2 4 2 3" xfId="12450" xr:uid="{A21C98A3-B80E-4813-9D20-3B351C2A48EC}"/>
    <cellStyle name="Normal 5 6 2 4 3" xfId="6081" xr:uid="{00000000-0005-0000-0000-0000A91B0000}"/>
    <cellStyle name="Normal 5 6 2 4 3 2" xfId="14523" xr:uid="{356A977B-0068-40CF-98A8-B422B7B54367}"/>
    <cellStyle name="Normal 5 6 2 4 4" xfId="10305" xr:uid="{8CEA7D77-5A7F-4C3F-9BFA-27AB56294E2A}"/>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D001E572-BCCC-454C-945A-3AD211F9C97B}"/>
    <cellStyle name="Normal 5 6 2 5 2 3" xfId="12863" xr:uid="{C400A47D-62B4-4B25-B3A2-9ABEE86C06D4}"/>
    <cellStyle name="Normal 5 6 2 5 3" xfId="6494" xr:uid="{00000000-0005-0000-0000-0000AD1B0000}"/>
    <cellStyle name="Normal 5 6 2 5 3 2" xfId="14936" xr:uid="{0A1EA46C-7675-48EF-83DB-BE570B99A5B9}"/>
    <cellStyle name="Normal 5 6 2 5 4" xfId="10718" xr:uid="{42E87C95-950C-49D4-8C5C-23EFDFF0BEFB}"/>
    <cellStyle name="Normal 5 6 2 6" xfId="2623" xr:uid="{00000000-0005-0000-0000-0000AE1B0000}"/>
    <cellStyle name="Normal 5 6 2 6 2" xfId="6907" xr:uid="{00000000-0005-0000-0000-0000AF1B0000}"/>
    <cellStyle name="Normal 5 6 2 6 2 2" xfId="15349" xr:uid="{1E91984D-0160-4E46-AB5C-8D1D970672BD}"/>
    <cellStyle name="Normal 5 6 2 6 3" xfId="11131" xr:uid="{48AC6110-D5A5-4766-879C-905567A381AF}"/>
    <cellStyle name="Normal 5 6 2 7" xfId="4842" xr:uid="{00000000-0005-0000-0000-0000B01B0000}"/>
    <cellStyle name="Normal 5 6 2 7 2" xfId="13284" xr:uid="{E446A433-F65A-40CF-A178-1A45D1F2AA1F}"/>
    <cellStyle name="Normal 5 6 2 8" xfId="9066" xr:uid="{4404A29E-3AE5-4602-83E6-E08A7792F4BD}"/>
    <cellStyle name="Normal 5 6 3" xfId="942" xr:uid="{00000000-0005-0000-0000-0000B11B0000}"/>
    <cellStyle name="Normal 5 6 3 2" xfId="3176" xr:uid="{00000000-0005-0000-0000-0000B21B0000}"/>
    <cellStyle name="Normal 5 6 3 2 2" xfId="7399" xr:uid="{00000000-0005-0000-0000-0000B31B0000}"/>
    <cellStyle name="Normal 5 6 3 2 2 2" xfId="15841" xr:uid="{4D3BB649-700B-40E9-BF62-5D77FAF4CC25}"/>
    <cellStyle name="Normal 5 6 3 2 3" xfId="11623" xr:uid="{991C78E0-AFD5-4551-A13D-09343F689660}"/>
    <cellStyle name="Normal 5 6 3 3" xfId="5254" xr:uid="{00000000-0005-0000-0000-0000B41B0000}"/>
    <cellStyle name="Normal 5 6 3 3 2" xfId="13696" xr:uid="{8EBEF074-0C77-4590-8775-4DFEFE6812CE}"/>
    <cellStyle name="Normal 5 6 3 4" xfId="9478" xr:uid="{31ADFC02-69BE-460B-BFAE-DD0F2571CAB3}"/>
    <cellStyle name="Normal 5 6 4" xfId="1359" xr:uid="{00000000-0005-0000-0000-0000B51B0000}"/>
    <cellStyle name="Normal 5 6 4 2" xfId="3589" xr:uid="{00000000-0005-0000-0000-0000B61B0000}"/>
    <cellStyle name="Normal 5 6 4 2 2" xfId="7812" xr:uid="{00000000-0005-0000-0000-0000B71B0000}"/>
    <cellStyle name="Normal 5 6 4 2 2 2" xfId="16254" xr:uid="{13FF7585-BC27-4575-8C90-DC55051E8E4C}"/>
    <cellStyle name="Normal 5 6 4 2 3" xfId="12036" xr:uid="{5CC618E7-7BC7-4353-BDA0-C0A39CDBB5B1}"/>
    <cellStyle name="Normal 5 6 4 3" xfId="5667" xr:uid="{00000000-0005-0000-0000-0000B81B0000}"/>
    <cellStyle name="Normal 5 6 4 3 2" xfId="14109" xr:uid="{6AF81904-FF91-4898-B247-FCA029E2521F}"/>
    <cellStyle name="Normal 5 6 4 4" xfId="9891" xr:uid="{69E45072-5A7E-4587-BDD7-EAF7623CAFC6}"/>
    <cellStyle name="Normal 5 6 5" xfId="1772" xr:uid="{00000000-0005-0000-0000-0000B91B0000}"/>
    <cellStyle name="Normal 5 6 5 2" xfId="4002" xr:uid="{00000000-0005-0000-0000-0000BA1B0000}"/>
    <cellStyle name="Normal 5 6 5 2 2" xfId="8225" xr:uid="{00000000-0005-0000-0000-0000BB1B0000}"/>
    <cellStyle name="Normal 5 6 5 2 2 2" xfId="16667" xr:uid="{12AC8B98-B54D-4FFF-A30F-690D7FFA2AE0}"/>
    <cellStyle name="Normal 5 6 5 2 3" xfId="12449" xr:uid="{417BEC6F-3401-42C0-A0B1-134DC0AECA81}"/>
    <cellStyle name="Normal 5 6 5 3" xfId="6080" xr:uid="{00000000-0005-0000-0000-0000BC1B0000}"/>
    <cellStyle name="Normal 5 6 5 3 2" xfId="14522" xr:uid="{4637F82B-7205-4DCD-81DE-65BB2DC713A8}"/>
    <cellStyle name="Normal 5 6 5 4" xfId="10304" xr:uid="{BB9D5F5C-1561-433F-93D1-76833920D201}"/>
    <cellStyle name="Normal 5 6 6" xfId="2186" xr:uid="{00000000-0005-0000-0000-0000BD1B0000}"/>
    <cellStyle name="Normal 5 6 6 2" xfId="4415" xr:uid="{00000000-0005-0000-0000-0000BE1B0000}"/>
    <cellStyle name="Normal 5 6 6 2 2" xfId="8638" xr:uid="{00000000-0005-0000-0000-0000BF1B0000}"/>
    <cellStyle name="Normal 5 6 6 2 2 2" xfId="17080" xr:uid="{873C73F5-BCDB-4116-A035-9021FD951963}"/>
    <cellStyle name="Normal 5 6 6 2 3" xfId="12862" xr:uid="{47568C4F-5DC0-4068-8C93-BB6F4F51887C}"/>
    <cellStyle name="Normal 5 6 6 3" xfId="6493" xr:uid="{00000000-0005-0000-0000-0000C01B0000}"/>
    <cellStyle name="Normal 5 6 6 3 2" xfId="14935" xr:uid="{EA704A17-F9B0-40AD-A1D0-1623AE160C4D}"/>
    <cellStyle name="Normal 5 6 6 4" xfId="10717" xr:uid="{6EB8574C-6730-43E6-BF9B-971F6E242B8E}"/>
    <cellStyle name="Normal 5 6 7" xfId="2622" xr:uid="{00000000-0005-0000-0000-0000C11B0000}"/>
    <cellStyle name="Normal 5 6 7 2" xfId="6906" xr:uid="{00000000-0005-0000-0000-0000C21B0000}"/>
    <cellStyle name="Normal 5 6 7 2 2" xfId="15348" xr:uid="{732C3D6C-A251-4D46-BFE2-0CEDE44B4256}"/>
    <cellStyle name="Normal 5 6 7 3" xfId="11130" xr:uid="{F1039A86-8C0A-4DF9-8A6B-719895636499}"/>
    <cellStyle name="Normal 5 6 8" xfId="4841" xr:uid="{00000000-0005-0000-0000-0000C31B0000}"/>
    <cellStyle name="Normal 5 6 8 2" xfId="13283" xr:uid="{BFD01486-769E-4821-B4EB-3676D3D94F44}"/>
    <cellStyle name="Normal 5 6 9" xfId="9065" xr:uid="{8FA6CA36-9482-417B-A950-AA56E6230F7B}"/>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4F6487E5-8377-45EF-98B4-187BAA8339AC}"/>
    <cellStyle name="Normal 5 7 2 2 3" xfId="11625" xr:uid="{98237169-532F-453A-9A57-21821A713BF2}"/>
    <cellStyle name="Normal 5 7 2 3" xfId="5256" xr:uid="{00000000-0005-0000-0000-0000C81B0000}"/>
    <cellStyle name="Normal 5 7 2 3 2" xfId="13698" xr:uid="{A862A6A4-D2DB-4739-A2B8-90FF8A0B314E}"/>
    <cellStyle name="Normal 5 7 2 4" xfId="9480" xr:uid="{EEDEC37E-5A0F-4671-9BF7-CBD875B8DC19}"/>
    <cellStyle name="Normal 5 7 3" xfId="1361" xr:uid="{00000000-0005-0000-0000-0000C91B0000}"/>
    <cellStyle name="Normal 5 7 3 2" xfId="3591" xr:uid="{00000000-0005-0000-0000-0000CA1B0000}"/>
    <cellStyle name="Normal 5 7 3 2 2" xfId="7814" xr:uid="{00000000-0005-0000-0000-0000CB1B0000}"/>
    <cellStyle name="Normal 5 7 3 2 2 2" xfId="16256" xr:uid="{A3758765-4423-4205-B490-40459F8F2742}"/>
    <cellStyle name="Normal 5 7 3 2 3" xfId="12038" xr:uid="{C86B970F-5683-4A2E-9D62-3A04B1FAFEDC}"/>
    <cellStyle name="Normal 5 7 3 3" xfId="5669" xr:uid="{00000000-0005-0000-0000-0000CC1B0000}"/>
    <cellStyle name="Normal 5 7 3 3 2" xfId="14111" xr:uid="{C0D61D54-126A-4DC9-860F-E1950D205936}"/>
    <cellStyle name="Normal 5 7 3 4" xfId="9893" xr:uid="{72632DAF-991A-4558-A9C3-A19953FAC787}"/>
    <cellStyle name="Normal 5 7 4" xfId="1774" xr:uid="{00000000-0005-0000-0000-0000CD1B0000}"/>
    <cellStyle name="Normal 5 7 4 2" xfId="4004" xr:uid="{00000000-0005-0000-0000-0000CE1B0000}"/>
    <cellStyle name="Normal 5 7 4 2 2" xfId="8227" xr:uid="{00000000-0005-0000-0000-0000CF1B0000}"/>
    <cellStyle name="Normal 5 7 4 2 2 2" xfId="16669" xr:uid="{EFEF514D-0E21-4D29-8C68-2364D9A298C6}"/>
    <cellStyle name="Normal 5 7 4 2 3" xfId="12451" xr:uid="{C83BC895-DF84-4D78-BD63-00A0C3874B7E}"/>
    <cellStyle name="Normal 5 7 4 3" xfId="6082" xr:uid="{00000000-0005-0000-0000-0000D01B0000}"/>
    <cellStyle name="Normal 5 7 4 3 2" xfId="14524" xr:uid="{1DE728B7-3FF5-4414-85B6-CC66D077C410}"/>
    <cellStyle name="Normal 5 7 4 4" xfId="10306" xr:uid="{94C39ED1-9095-472A-92E2-55530D936782}"/>
    <cellStyle name="Normal 5 7 5" xfId="2188" xr:uid="{00000000-0005-0000-0000-0000D11B0000}"/>
    <cellStyle name="Normal 5 7 5 2" xfId="4417" xr:uid="{00000000-0005-0000-0000-0000D21B0000}"/>
    <cellStyle name="Normal 5 7 5 2 2" xfId="8640" xr:uid="{00000000-0005-0000-0000-0000D31B0000}"/>
    <cellStyle name="Normal 5 7 5 2 2 2" xfId="17082" xr:uid="{897F5C2A-7C13-45BC-B10D-6A381F685876}"/>
    <cellStyle name="Normal 5 7 5 2 3" xfId="12864" xr:uid="{1E2CA7F9-0F58-4C9D-B550-5E5E8A022BF6}"/>
    <cellStyle name="Normal 5 7 5 3" xfId="6495" xr:uid="{00000000-0005-0000-0000-0000D41B0000}"/>
    <cellStyle name="Normal 5 7 5 3 2" xfId="14937" xr:uid="{BBCEBB7B-ACC3-4908-BA66-9E29F462CEEB}"/>
    <cellStyle name="Normal 5 7 5 4" xfId="10719" xr:uid="{D41E0607-218E-47AB-A7C4-59DB466AE451}"/>
    <cellStyle name="Normal 5 7 6" xfId="2624" xr:uid="{00000000-0005-0000-0000-0000D51B0000}"/>
    <cellStyle name="Normal 5 7 6 2" xfId="6908" xr:uid="{00000000-0005-0000-0000-0000D61B0000}"/>
    <cellStyle name="Normal 5 7 6 2 2" xfId="15350" xr:uid="{E9B13CB4-7B89-4D54-9612-86CCEBFFE925}"/>
    <cellStyle name="Normal 5 7 6 3" xfId="11132" xr:uid="{DCA5ACCD-DEBC-44EB-94AD-EF1F022FBA34}"/>
    <cellStyle name="Normal 5 7 7" xfId="4843" xr:uid="{00000000-0005-0000-0000-0000D71B0000}"/>
    <cellStyle name="Normal 5 7 7 2" xfId="13285" xr:uid="{22A027A4-1A14-4FEF-982D-B44CF0BD9B07}"/>
    <cellStyle name="Normal 5 7 8" xfId="9067" xr:uid="{79EB67E5-923E-4CF2-B5DB-722659CD9D42}"/>
    <cellStyle name="Normal 5 8" xfId="880" xr:uid="{00000000-0005-0000-0000-0000D81B0000}"/>
    <cellStyle name="Normal 5 8 2" xfId="3115" xr:uid="{00000000-0005-0000-0000-0000D91B0000}"/>
    <cellStyle name="Normal 5 8 2 2" xfId="7338" xr:uid="{00000000-0005-0000-0000-0000DA1B0000}"/>
    <cellStyle name="Normal 5 8 2 2 2" xfId="15780" xr:uid="{88AFFD16-94E1-478A-902B-E950D5B926FD}"/>
    <cellStyle name="Normal 5 8 2 3" xfId="11562" xr:uid="{6EDC7341-1F5A-4E57-8E63-16249A8CF597}"/>
    <cellStyle name="Normal 5 8 3" xfId="5193" xr:uid="{00000000-0005-0000-0000-0000DB1B0000}"/>
    <cellStyle name="Normal 5 8 3 2" xfId="13635" xr:uid="{5993E1C8-EBA1-4157-942C-46BAD95B095B}"/>
    <cellStyle name="Normal 5 8 4" xfId="9417" xr:uid="{3996E5AF-D36C-45AE-AF9A-C1547AD4B6D1}"/>
    <cellStyle name="Normal 5 9" xfId="1298" xr:uid="{00000000-0005-0000-0000-0000DC1B0000}"/>
    <cellStyle name="Normal 5 9 2" xfId="3528" xr:uid="{00000000-0005-0000-0000-0000DD1B0000}"/>
    <cellStyle name="Normal 5 9 2 2" xfId="7751" xr:uid="{00000000-0005-0000-0000-0000DE1B0000}"/>
    <cellStyle name="Normal 5 9 2 2 2" xfId="16193" xr:uid="{6F6ED959-D76D-491B-98B2-CF6069CC0EF7}"/>
    <cellStyle name="Normal 5 9 2 3" xfId="11975" xr:uid="{B730642F-B04E-4C41-9D8D-1B9694021DD4}"/>
    <cellStyle name="Normal 5 9 3" xfId="5606" xr:uid="{00000000-0005-0000-0000-0000DF1B0000}"/>
    <cellStyle name="Normal 5 9 3 2" xfId="14048" xr:uid="{3E06B4FA-B263-45D2-AB0E-BD34B62E6089}"/>
    <cellStyle name="Normal 5 9 4" xfId="9830" xr:uid="{4D541C0D-58A9-414B-AC56-6E1E9EB3314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AE02A8A5-343D-4A2B-9B4F-53A9D021F0BC}"/>
    <cellStyle name="Normal 8 10 2 3" xfId="12865" xr:uid="{15FD9201-82F5-45C8-A2C8-23D51AD95798}"/>
    <cellStyle name="Normal 8 10 3" xfId="6496" xr:uid="{00000000-0005-0000-0000-0000EB1B0000}"/>
    <cellStyle name="Normal 8 10 3 2" xfId="14938" xr:uid="{4CBB029A-B113-4EF4-A130-45B782788AA3}"/>
    <cellStyle name="Normal 8 10 4" xfId="10720" xr:uid="{B09B7CD1-A719-4154-8466-19F2753A0850}"/>
    <cellStyle name="Normal 8 11" xfId="2625" xr:uid="{00000000-0005-0000-0000-0000EC1B0000}"/>
    <cellStyle name="Normal 8 11 2" xfId="6909" xr:uid="{00000000-0005-0000-0000-0000ED1B0000}"/>
    <cellStyle name="Normal 8 11 2 2" xfId="15351" xr:uid="{C904E24E-6250-48C6-BD33-7C4268249A7E}"/>
    <cellStyle name="Normal 8 11 3" xfId="11133" xr:uid="{E4875CFC-3C41-4738-87F6-94E9E83F41C2}"/>
    <cellStyle name="Normal 8 12" xfId="4844" xr:uid="{00000000-0005-0000-0000-0000EE1B0000}"/>
    <cellStyle name="Normal 8 12 2" xfId="13286" xr:uid="{BC43129C-5B86-46F4-9FD6-840B218FAE0F}"/>
    <cellStyle name="Normal 8 13" xfId="9068" xr:uid="{D94865C2-4481-4BDF-919F-1CA74E563473}"/>
    <cellStyle name="Normal 8 2" xfId="479" xr:uid="{00000000-0005-0000-0000-0000EF1B0000}"/>
    <cellStyle name="Normal 8 2 10" xfId="2626" xr:uid="{00000000-0005-0000-0000-0000F01B0000}"/>
    <cellStyle name="Normal 8 2 10 2" xfId="6910" xr:uid="{00000000-0005-0000-0000-0000F11B0000}"/>
    <cellStyle name="Normal 8 2 10 2 2" xfId="15352" xr:uid="{F0A40BB0-3614-4E36-BD59-B0FFE8C2B1A7}"/>
    <cellStyle name="Normal 8 2 10 3" xfId="11134" xr:uid="{D2B477FD-C41F-4999-8684-B5A104996DB3}"/>
    <cellStyle name="Normal 8 2 11" xfId="4845" xr:uid="{00000000-0005-0000-0000-0000F21B0000}"/>
    <cellStyle name="Normal 8 2 11 2" xfId="13287" xr:uid="{15AE5E3E-E7F4-4A65-AA09-FC65EC66A0EC}"/>
    <cellStyle name="Normal 8 2 12" xfId="9069" xr:uid="{054960AB-A080-4784-8442-C15392BD4595}"/>
    <cellStyle name="Normal 8 2 2" xfId="480" xr:uid="{00000000-0005-0000-0000-0000F31B0000}"/>
    <cellStyle name="Normal 8 2 2 10" xfId="4846" xr:uid="{00000000-0005-0000-0000-0000F41B0000}"/>
    <cellStyle name="Normal 8 2 2 10 2" xfId="13288" xr:uid="{4940B4C8-A238-414D-A0B3-E1E9A5F7279E}"/>
    <cellStyle name="Normal 8 2 2 11" xfId="9070" xr:uid="{CDBBEBE9-B986-44F8-A51A-D67DD7065F55}"/>
    <cellStyle name="Normal 8 2 2 2" xfId="481" xr:uid="{00000000-0005-0000-0000-0000F51B0000}"/>
    <cellStyle name="Normal 8 2 2 2 10" xfId="9071" xr:uid="{F7520B5A-2B59-4880-BA68-6444C1697EA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F088F90F-9C91-4DBB-AA47-31E0F64B986C}"/>
    <cellStyle name="Normal 8 2 2 2 2 2 2 2 3" xfId="11631" xr:uid="{137C0F9E-E20D-46AC-8AA1-84BD3E3E0741}"/>
    <cellStyle name="Normal 8 2 2 2 2 2 2 3" xfId="5262" xr:uid="{00000000-0005-0000-0000-0000FB1B0000}"/>
    <cellStyle name="Normal 8 2 2 2 2 2 2 3 2" xfId="13704" xr:uid="{0C03177D-431D-4030-BC95-881FDD81FFFB}"/>
    <cellStyle name="Normal 8 2 2 2 2 2 2 4" xfId="9486" xr:uid="{9472F59A-F87D-4B01-955A-EB8EC643AE54}"/>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F56E6DA2-6CE7-41BD-A205-C30056020616}"/>
    <cellStyle name="Normal 8 2 2 2 2 2 3 2 3" xfId="12044" xr:uid="{785147A0-48AC-4BD4-817D-AB98EB75CBE9}"/>
    <cellStyle name="Normal 8 2 2 2 2 2 3 3" xfId="5675" xr:uid="{00000000-0005-0000-0000-0000FF1B0000}"/>
    <cellStyle name="Normal 8 2 2 2 2 2 3 3 2" xfId="14117" xr:uid="{333C1715-3F98-4C1B-BD7A-4C7F6ED3712C}"/>
    <cellStyle name="Normal 8 2 2 2 2 2 3 4" xfId="9899" xr:uid="{7E6851B0-B026-4504-88E4-49FEB57AB804}"/>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530E1AC9-756D-471E-BEB6-1CAF054959C8}"/>
    <cellStyle name="Normal 8 2 2 2 2 2 4 2 3" xfId="12457" xr:uid="{6A78839D-C813-4B7E-AB59-9EFAB496E84B}"/>
    <cellStyle name="Normal 8 2 2 2 2 2 4 3" xfId="6088" xr:uid="{00000000-0005-0000-0000-0000031C0000}"/>
    <cellStyle name="Normal 8 2 2 2 2 2 4 3 2" xfId="14530" xr:uid="{5329866E-BC10-46F5-B28B-C12A181C423D}"/>
    <cellStyle name="Normal 8 2 2 2 2 2 4 4" xfId="10312" xr:uid="{00C6B7D3-3BF8-455B-8F4A-6AD8FC0E3D1A}"/>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D71AF263-40B5-4977-B17E-91986B253894}"/>
    <cellStyle name="Normal 8 2 2 2 2 2 5 2 3" xfId="12870" xr:uid="{3660DA9D-5F0A-48EA-9AD2-229B87CF7E5C}"/>
    <cellStyle name="Normal 8 2 2 2 2 2 5 3" xfId="6501" xr:uid="{00000000-0005-0000-0000-0000071C0000}"/>
    <cellStyle name="Normal 8 2 2 2 2 2 5 3 2" xfId="14943" xr:uid="{BCDEF789-4243-4F32-83DF-CE5DB9E6D4A9}"/>
    <cellStyle name="Normal 8 2 2 2 2 2 5 4" xfId="10725" xr:uid="{A0D8DDC1-6C39-4EC3-864C-303667459720}"/>
    <cellStyle name="Normal 8 2 2 2 2 2 6" xfId="2630" xr:uid="{00000000-0005-0000-0000-0000081C0000}"/>
    <cellStyle name="Normal 8 2 2 2 2 2 6 2" xfId="6914" xr:uid="{00000000-0005-0000-0000-0000091C0000}"/>
    <cellStyle name="Normal 8 2 2 2 2 2 6 2 2" xfId="15356" xr:uid="{FE525311-6A38-41AA-A210-F33292583BD1}"/>
    <cellStyle name="Normal 8 2 2 2 2 2 6 3" xfId="11138" xr:uid="{99CE3305-9FFB-4489-AF74-AD79F9BEEECC}"/>
    <cellStyle name="Normal 8 2 2 2 2 2 7" xfId="4849" xr:uid="{00000000-0005-0000-0000-00000A1C0000}"/>
    <cellStyle name="Normal 8 2 2 2 2 2 7 2" xfId="13291" xr:uid="{EA1414A8-D0CD-42E7-BD04-182A09BDC99E}"/>
    <cellStyle name="Normal 8 2 2 2 2 2 8" xfId="9073" xr:uid="{18C75C6D-E5F7-4562-999F-E8296FA86C8C}"/>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A77BB829-300E-4CB9-8044-11388D10EC8A}"/>
    <cellStyle name="Normal 8 2 2 2 2 3 2 3" xfId="11630" xr:uid="{F6614CFC-5BFE-4E9F-8567-1ABB03E9EF4F}"/>
    <cellStyle name="Normal 8 2 2 2 2 3 3" xfId="5261" xr:uid="{00000000-0005-0000-0000-00000E1C0000}"/>
    <cellStyle name="Normal 8 2 2 2 2 3 3 2" xfId="13703" xr:uid="{027BE55F-3BC6-426C-8019-D7C6BC01AEB9}"/>
    <cellStyle name="Normal 8 2 2 2 2 3 4" xfId="9485" xr:uid="{9B7BAF0E-2CBA-4843-81EB-DF2AC47D1F6C}"/>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178975A6-E368-49C5-AE62-1FC1FDCF91B5}"/>
    <cellStyle name="Normal 8 2 2 2 2 4 2 3" xfId="12043" xr:uid="{2E28C26F-07C3-4990-A09D-B8EBA87A2859}"/>
    <cellStyle name="Normal 8 2 2 2 2 4 3" xfId="5674" xr:uid="{00000000-0005-0000-0000-0000121C0000}"/>
    <cellStyle name="Normal 8 2 2 2 2 4 3 2" xfId="14116" xr:uid="{5B9542EB-3C5E-44F2-9E93-D9394ADF1D05}"/>
    <cellStyle name="Normal 8 2 2 2 2 4 4" xfId="9898" xr:uid="{FABC116C-B89E-4530-ADBD-30971124CB66}"/>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E23CF793-20B5-482B-B8DD-AB0E252DFCDF}"/>
    <cellStyle name="Normal 8 2 2 2 2 5 2 3" xfId="12456" xr:uid="{4D9EAA3C-35F8-48B4-BEF4-4E921A49795A}"/>
    <cellStyle name="Normal 8 2 2 2 2 5 3" xfId="6087" xr:uid="{00000000-0005-0000-0000-0000161C0000}"/>
    <cellStyle name="Normal 8 2 2 2 2 5 3 2" xfId="14529" xr:uid="{32F18B60-19BD-4C1C-85B3-E78B75735328}"/>
    <cellStyle name="Normal 8 2 2 2 2 5 4" xfId="10311" xr:uid="{384B917C-3F60-441B-AA2A-A69E3C76DB8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5634374A-AC11-4A52-9A54-CD64774604B1}"/>
    <cellStyle name="Normal 8 2 2 2 2 6 2 3" xfId="12869" xr:uid="{E10D2DAD-0777-4D9D-AE81-87855C8A6C46}"/>
    <cellStyle name="Normal 8 2 2 2 2 6 3" xfId="6500" xr:uid="{00000000-0005-0000-0000-00001A1C0000}"/>
    <cellStyle name="Normal 8 2 2 2 2 6 3 2" xfId="14942" xr:uid="{9FF8DC96-07A3-436A-A7FE-692BDDEDD4F6}"/>
    <cellStyle name="Normal 8 2 2 2 2 6 4" xfId="10724" xr:uid="{440BB03C-5308-4BEF-96A6-F1770A504AC8}"/>
    <cellStyle name="Normal 8 2 2 2 2 7" xfId="2629" xr:uid="{00000000-0005-0000-0000-00001B1C0000}"/>
    <cellStyle name="Normal 8 2 2 2 2 7 2" xfId="6913" xr:uid="{00000000-0005-0000-0000-00001C1C0000}"/>
    <cellStyle name="Normal 8 2 2 2 2 7 2 2" xfId="15355" xr:uid="{B591AC4B-D8D0-4C7B-BC36-F56F5884EA20}"/>
    <cellStyle name="Normal 8 2 2 2 2 7 3" xfId="11137" xr:uid="{A822190C-2FE6-4DA2-9A16-D0A5DF66A5C0}"/>
    <cellStyle name="Normal 8 2 2 2 2 8" xfId="4848" xr:uid="{00000000-0005-0000-0000-00001D1C0000}"/>
    <cellStyle name="Normal 8 2 2 2 2 8 2" xfId="13290" xr:uid="{5EB0A739-B9E2-4346-8EF8-5CE1D7FF117E}"/>
    <cellStyle name="Normal 8 2 2 2 2 9" xfId="9072" xr:uid="{D630E8F1-EE34-4D97-8851-84B5CE7F92B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FC21F00C-43E9-426D-9B87-4E096AFF844C}"/>
    <cellStyle name="Normal 8 2 2 2 3 2 2 3" xfId="11632" xr:uid="{AD6517C1-F3AE-45C5-A490-B850F02D6DC3}"/>
    <cellStyle name="Normal 8 2 2 2 3 2 3" xfId="5263" xr:uid="{00000000-0005-0000-0000-0000221C0000}"/>
    <cellStyle name="Normal 8 2 2 2 3 2 3 2" xfId="13705" xr:uid="{37776BAF-9135-4CE0-BB13-A677DAB0A7B7}"/>
    <cellStyle name="Normal 8 2 2 2 3 2 4" xfId="9487" xr:uid="{0CF36F2A-FF2F-4710-A1EA-890B1789F0D9}"/>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1974A055-D7DE-4C61-B992-8FE80DD4B067}"/>
    <cellStyle name="Normal 8 2 2 2 3 3 2 3" xfId="12045" xr:uid="{5DDA06DB-FEAA-4B2B-BCB1-326798B9A821}"/>
    <cellStyle name="Normal 8 2 2 2 3 3 3" xfId="5676" xr:uid="{00000000-0005-0000-0000-0000261C0000}"/>
    <cellStyle name="Normal 8 2 2 2 3 3 3 2" xfId="14118" xr:uid="{8828FD6D-9E24-4B56-8560-917E7D020C52}"/>
    <cellStyle name="Normal 8 2 2 2 3 3 4" xfId="9900" xr:uid="{5B673FB5-2337-4DFE-9CF8-05B65A675F2D}"/>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A2D7FF5D-650A-41F2-8ABF-8C2466983097}"/>
    <cellStyle name="Normal 8 2 2 2 3 4 2 3" xfId="12458" xr:uid="{13BCE5A7-FF4E-477E-BE44-46759A0041EE}"/>
    <cellStyle name="Normal 8 2 2 2 3 4 3" xfId="6089" xr:uid="{00000000-0005-0000-0000-00002A1C0000}"/>
    <cellStyle name="Normal 8 2 2 2 3 4 3 2" xfId="14531" xr:uid="{E5517553-9501-4FC9-A41F-3EA0974BF133}"/>
    <cellStyle name="Normal 8 2 2 2 3 4 4" xfId="10313" xr:uid="{5F49512F-C2BF-4B63-B184-2E9AFBA4A52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DF67AB04-22AF-493F-B2AF-2738D75617E9}"/>
    <cellStyle name="Normal 8 2 2 2 3 5 2 3" xfId="12871" xr:uid="{1956B9B4-7601-4765-9743-963B39B253BD}"/>
    <cellStyle name="Normal 8 2 2 2 3 5 3" xfId="6502" xr:uid="{00000000-0005-0000-0000-00002E1C0000}"/>
    <cellStyle name="Normal 8 2 2 2 3 5 3 2" xfId="14944" xr:uid="{9C902C6A-934C-4AA8-931D-449F8D54BEA7}"/>
    <cellStyle name="Normal 8 2 2 2 3 5 4" xfId="10726" xr:uid="{57F5B1E3-3591-4023-91C3-CB5766645EA8}"/>
    <cellStyle name="Normal 8 2 2 2 3 6" xfId="2631" xr:uid="{00000000-0005-0000-0000-00002F1C0000}"/>
    <cellStyle name="Normal 8 2 2 2 3 6 2" xfId="6915" xr:uid="{00000000-0005-0000-0000-0000301C0000}"/>
    <cellStyle name="Normal 8 2 2 2 3 6 2 2" xfId="15357" xr:uid="{8040DE1F-A71F-440F-BF6E-B379A9D34022}"/>
    <cellStyle name="Normal 8 2 2 2 3 6 3" xfId="11139" xr:uid="{20D5E5A2-D01C-4E6E-8231-4B79E7F44DB6}"/>
    <cellStyle name="Normal 8 2 2 2 3 7" xfId="4850" xr:uid="{00000000-0005-0000-0000-0000311C0000}"/>
    <cellStyle name="Normal 8 2 2 2 3 7 2" xfId="13292" xr:uid="{A3FC52A2-0063-470D-B380-864B2D9A7C1C}"/>
    <cellStyle name="Normal 8 2 2 2 3 8" xfId="9074" xr:uid="{A147D3FE-F273-4B8B-A677-9213E815D485}"/>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A90068C5-B909-47C5-A6F7-82C21EB0027F}"/>
    <cellStyle name="Normal 8 2 2 2 4 2 3" xfId="11629" xr:uid="{7CFA5C30-C6C4-441C-A7DA-6C03C54A69FB}"/>
    <cellStyle name="Normal 8 2 2 2 4 3" xfId="5260" xr:uid="{00000000-0005-0000-0000-0000351C0000}"/>
    <cellStyle name="Normal 8 2 2 2 4 3 2" xfId="13702" xr:uid="{318D5152-DBC3-4CAC-A379-CD86F78D3A0B}"/>
    <cellStyle name="Normal 8 2 2 2 4 4" xfId="9484" xr:uid="{53B21CF3-7664-48DD-8F01-47C45C8565F5}"/>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AEC586EE-55CE-458F-94C8-E8B59F07B346}"/>
    <cellStyle name="Normal 8 2 2 2 5 2 3" xfId="12042" xr:uid="{6F539F7E-4600-49BC-A108-DBDF93AB6756}"/>
    <cellStyle name="Normal 8 2 2 2 5 3" xfId="5673" xr:uid="{00000000-0005-0000-0000-0000391C0000}"/>
    <cellStyle name="Normal 8 2 2 2 5 3 2" xfId="14115" xr:uid="{66D02E22-01C7-4D30-AFBC-3EEF9F627C38}"/>
    <cellStyle name="Normal 8 2 2 2 5 4" xfId="9897" xr:uid="{17615ED3-08C4-45BE-AAA1-5979120EE1B6}"/>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09A43FD7-B62D-4B9C-94EE-D3B681C06E40}"/>
    <cellStyle name="Normal 8 2 2 2 6 2 3" xfId="12455" xr:uid="{2D9D3415-DC66-41F8-B10E-E2EF3C801DC4}"/>
    <cellStyle name="Normal 8 2 2 2 6 3" xfId="6086" xr:uid="{00000000-0005-0000-0000-00003D1C0000}"/>
    <cellStyle name="Normal 8 2 2 2 6 3 2" xfId="14528" xr:uid="{616267A1-FDC6-4701-AE36-56E3AAB095D7}"/>
    <cellStyle name="Normal 8 2 2 2 6 4" xfId="10310" xr:uid="{0194893D-E247-4BBE-8EF6-5BFE4EC20E73}"/>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B39CEDB4-6C96-4CD0-8BD8-159958F001E8}"/>
    <cellStyle name="Normal 8 2 2 2 7 2 3" xfId="12868" xr:uid="{B13EF879-5E97-4C22-843D-787B0EED8E72}"/>
    <cellStyle name="Normal 8 2 2 2 7 3" xfId="6499" xr:uid="{00000000-0005-0000-0000-0000411C0000}"/>
    <cellStyle name="Normal 8 2 2 2 7 3 2" xfId="14941" xr:uid="{1FFA94E1-8EBF-46DD-8B42-6D342EC09082}"/>
    <cellStyle name="Normal 8 2 2 2 7 4" xfId="10723" xr:uid="{C18A7F87-5833-40B0-87FF-DFCDD141FCAB}"/>
    <cellStyle name="Normal 8 2 2 2 8" xfId="2628" xr:uid="{00000000-0005-0000-0000-0000421C0000}"/>
    <cellStyle name="Normal 8 2 2 2 8 2" xfId="6912" xr:uid="{00000000-0005-0000-0000-0000431C0000}"/>
    <cellStyle name="Normal 8 2 2 2 8 2 2" xfId="15354" xr:uid="{BD3DAA88-692C-45EB-A14A-04079D68EC1E}"/>
    <cellStyle name="Normal 8 2 2 2 8 3" xfId="11136" xr:uid="{C4072DBD-087C-4C7F-A8DD-8A105C0E00C6}"/>
    <cellStyle name="Normal 8 2 2 2 9" xfId="4847" xr:uid="{00000000-0005-0000-0000-0000441C0000}"/>
    <cellStyle name="Normal 8 2 2 2 9 2" xfId="13289" xr:uid="{F760A00E-7532-464D-B536-9FA928E3A405}"/>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07FDC150-5B5A-4533-B8FA-367B09471658}"/>
    <cellStyle name="Normal 8 2 2 3 2 2 2 3" xfId="11634" xr:uid="{F915904D-7AE0-4045-9869-B2BB5299FF7C}"/>
    <cellStyle name="Normal 8 2 2 3 2 2 3" xfId="5265" xr:uid="{00000000-0005-0000-0000-00004A1C0000}"/>
    <cellStyle name="Normal 8 2 2 3 2 2 3 2" xfId="13707" xr:uid="{B52D42BA-D82B-4202-879F-84EF4D8990FF}"/>
    <cellStyle name="Normal 8 2 2 3 2 2 4" xfId="9489" xr:uid="{4D032AAC-01BF-4F7E-AC17-6CD277CB6F01}"/>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C6CFF501-6677-4747-A645-2B8224DB9F43}"/>
    <cellStyle name="Normal 8 2 2 3 2 3 2 3" xfId="12047" xr:uid="{663ECF54-C4D1-41EC-8895-8CE17BDB72B6}"/>
    <cellStyle name="Normal 8 2 2 3 2 3 3" xfId="5678" xr:uid="{00000000-0005-0000-0000-00004E1C0000}"/>
    <cellStyle name="Normal 8 2 2 3 2 3 3 2" xfId="14120" xr:uid="{C918DC27-5A0A-45B7-899E-9EA97E7BA29A}"/>
    <cellStyle name="Normal 8 2 2 3 2 3 4" xfId="9902" xr:uid="{19E3A60D-7389-4792-B65E-C6EF993C985B}"/>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1760DD64-9E5A-4142-B622-B9B0EC919C09}"/>
    <cellStyle name="Normal 8 2 2 3 2 4 2 3" xfId="12460" xr:uid="{D1E9B971-4634-4EF2-8B06-8F674B75F10C}"/>
    <cellStyle name="Normal 8 2 2 3 2 4 3" xfId="6091" xr:uid="{00000000-0005-0000-0000-0000521C0000}"/>
    <cellStyle name="Normal 8 2 2 3 2 4 3 2" xfId="14533" xr:uid="{E74ABC52-CD8C-4CD1-9C2B-058D4D3417D9}"/>
    <cellStyle name="Normal 8 2 2 3 2 4 4" xfId="10315" xr:uid="{0F49010C-0C55-4233-93A3-BF1E9E2CFB1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F153D9BA-DC34-4C5D-A64C-D6FF12D77E5E}"/>
    <cellStyle name="Normal 8 2 2 3 2 5 2 3" xfId="12873" xr:uid="{3B2DB0EF-1A2F-4F9B-A2E5-310F42705069}"/>
    <cellStyle name="Normal 8 2 2 3 2 5 3" xfId="6504" xr:uid="{00000000-0005-0000-0000-0000561C0000}"/>
    <cellStyle name="Normal 8 2 2 3 2 5 3 2" xfId="14946" xr:uid="{720E957C-D247-4DE7-8B97-13FC30B416FE}"/>
    <cellStyle name="Normal 8 2 2 3 2 5 4" xfId="10728" xr:uid="{246DA8FB-70D5-48C4-934B-E5FE6030F861}"/>
    <cellStyle name="Normal 8 2 2 3 2 6" xfId="2633" xr:uid="{00000000-0005-0000-0000-0000571C0000}"/>
    <cellStyle name="Normal 8 2 2 3 2 6 2" xfId="6917" xr:uid="{00000000-0005-0000-0000-0000581C0000}"/>
    <cellStyle name="Normal 8 2 2 3 2 6 2 2" xfId="15359" xr:uid="{D57E79A7-2DB2-42FE-8D41-90687DAB98EA}"/>
    <cellStyle name="Normal 8 2 2 3 2 6 3" xfId="11141" xr:uid="{7B2954EB-AEB7-485B-BE54-6BA0E86A7A03}"/>
    <cellStyle name="Normal 8 2 2 3 2 7" xfId="4852" xr:uid="{00000000-0005-0000-0000-0000591C0000}"/>
    <cellStyle name="Normal 8 2 2 3 2 7 2" xfId="13294" xr:uid="{F3CBF075-48FD-4506-AB84-23BD095DF9DF}"/>
    <cellStyle name="Normal 8 2 2 3 2 8" xfId="9076" xr:uid="{AE7466EB-A2CF-426E-BED8-7CCD75995BE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1D6988B-DA2D-424E-AD7E-C62B4DACD723}"/>
    <cellStyle name="Normal 8 2 2 3 3 2 3" xfId="11633" xr:uid="{D106CCDF-43F1-4695-8857-2B7A14824CE7}"/>
    <cellStyle name="Normal 8 2 2 3 3 3" xfId="5264" xr:uid="{00000000-0005-0000-0000-00005D1C0000}"/>
    <cellStyle name="Normal 8 2 2 3 3 3 2" xfId="13706" xr:uid="{3F75068E-C48C-425E-B018-94489C0FC181}"/>
    <cellStyle name="Normal 8 2 2 3 3 4" xfId="9488" xr:uid="{D63845CB-E11F-4B77-8990-7D4F18F1BA72}"/>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0803070-70AA-4733-9F75-F79EE50C3DCE}"/>
    <cellStyle name="Normal 8 2 2 3 4 2 3" xfId="12046" xr:uid="{9B08A79A-4CF1-4759-8335-45E2A00ACBF2}"/>
    <cellStyle name="Normal 8 2 2 3 4 3" xfId="5677" xr:uid="{00000000-0005-0000-0000-0000611C0000}"/>
    <cellStyle name="Normal 8 2 2 3 4 3 2" xfId="14119" xr:uid="{FE00E969-5ED9-451E-A72B-4C73A6997A8F}"/>
    <cellStyle name="Normal 8 2 2 3 4 4" xfId="9901" xr:uid="{92ACD0B2-695D-498A-B523-69E625DAA53B}"/>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ABF3C915-54B9-4BD7-B894-E03813BC5220}"/>
    <cellStyle name="Normal 8 2 2 3 5 2 3" xfId="12459" xr:uid="{FF503232-4D69-470C-95A8-E5664D9A28FD}"/>
    <cellStyle name="Normal 8 2 2 3 5 3" xfId="6090" xr:uid="{00000000-0005-0000-0000-0000651C0000}"/>
    <cellStyle name="Normal 8 2 2 3 5 3 2" xfId="14532" xr:uid="{C021FFDB-0673-4F3F-BBC5-BE298A011EE4}"/>
    <cellStyle name="Normal 8 2 2 3 5 4" xfId="10314" xr:uid="{F8F7EF4B-8B9B-4DBB-91AC-35C741C9F28B}"/>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21FBB6C2-2540-4157-AB1A-53814F790D8C}"/>
    <cellStyle name="Normal 8 2 2 3 6 2 3" xfId="12872" xr:uid="{C39EED46-BC8B-4BD2-80DF-2E523B83D1E5}"/>
    <cellStyle name="Normal 8 2 2 3 6 3" xfId="6503" xr:uid="{00000000-0005-0000-0000-0000691C0000}"/>
    <cellStyle name="Normal 8 2 2 3 6 3 2" xfId="14945" xr:uid="{7DF5CF50-F0ED-4A83-B290-C50FAE2BD1F5}"/>
    <cellStyle name="Normal 8 2 2 3 6 4" xfId="10727" xr:uid="{68A19B60-7A4A-4314-B62E-CCC7CDD3AB83}"/>
    <cellStyle name="Normal 8 2 2 3 7" xfId="2632" xr:uid="{00000000-0005-0000-0000-00006A1C0000}"/>
    <cellStyle name="Normal 8 2 2 3 7 2" xfId="6916" xr:uid="{00000000-0005-0000-0000-00006B1C0000}"/>
    <cellStyle name="Normal 8 2 2 3 7 2 2" xfId="15358" xr:uid="{9F10CD63-5840-4170-8CF9-C39112431A40}"/>
    <cellStyle name="Normal 8 2 2 3 7 3" xfId="11140" xr:uid="{13AF853F-E827-4496-8684-DFD2FC522A75}"/>
    <cellStyle name="Normal 8 2 2 3 8" xfId="4851" xr:uid="{00000000-0005-0000-0000-00006C1C0000}"/>
    <cellStyle name="Normal 8 2 2 3 8 2" xfId="13293" xr:uid="{B9752CC9-79B9-479A-88ED-641659D056C4}"/>
    <cellStyle name="Normal 8 2 2 3 9" xfId="9075" xr:uid="{02271A9A-860B-425F-83E3-023B97779D35}"/>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2EF6179E-EEE4-4981-8777-EE4A11C7CB56}"/>
    <cellStyle name="Normal 8 2 2 4 2 2 3" xfId="11635" xr:uid="{144E8ED0-335F-4100-8723-70CC52D58F6F}"/>
    <cellStyle name="Normal 8 2 2 4 2 3" xfId="5266" xr:uid="{00000000-0005-0000-0000-0000711C0000}"/>
    <cellStyle name="Normal 8 2 2 4 2 3 2" xfId="13708" xr:uid="{6A9E8EE7-A76F-41FE-8D87-DF1A99CE528B}"/>
    <cellStyle name="Normal 8 2 2 4 2 4" xfId="9490" xr:uid="{86803825-9745-4886-ABE9-87A38C859DB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898BC041-AFDA-43E9-B2F0-85443171A272}"/>
    <cellStyle name="Normal 8 2 2 4 3 2 3" xfId="12048" xr:uid="{340E850B-7BE3-442E-BC82-05F268A35B52}"/>
    <cellStyle name="Normal 8 2 2 4 3 3" xfId="5679" xr:uid="{00000000-0005-0000-0000-0000751C0000}"/>
    <cellStyle name="Normal 8 2 2 4 3 3 2" xfId="14121" xr:uid="{95A4DECA-658C-452E-A085-F54BCE5EA70E}"/>
    <cellStyle name="Normal 8 2 2 4 3 4" xfId="9903" xr:uid="{2812799D-258E-4737-8BE5-5FB33BE6ACF8}"/>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D4A7A643-0D7F-4E3E-B6DB-0427C590E073}"/>
    <cellStyle name="Normal 8 2 2 4 4 2 3" xfId="12461" xr:uid="{C779A059-2488-4B25-ABA0-06C63D90AEDF}"/>
    <cellStyle name="Normal 8 2 2 4 4 3" xfId="6092" xr:uid="{00000000-0005-0000-0000-0000791C0000}"/>
    <cellStyle name="Normal 8 2 2 4 4 3 2" xfId="14534" xr:uid="{E16074DC-8E42-4A74-B6F2-8484DF6BF664}"/>
    <cellStyle name="Normal 8 2 2 4 4 4" xfId="10316" xr:uid="{55FAFA3E-3E3E-44EF-82F8-725E45F01831}"/>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8FA23D8D-7314-498A-B6EB-606A7E2F813D}"/>
    <cellStyle name="Normal 8 2 2 4 5 2 3" xfId="12874" xr:uid="{48DEF02B-BA46-496F-8948-25A7F0ED92DF}"/>
    <cellStyle name="Normal 8 2 2 4 5 3" xfId="6505" xr:uid="{00000000-0005-0000-0000-00007D1C0000}"/>
    <cellStyle name="Normal 8 2 2 4 5 3 2" xfId="14947" xr:uid="{221740DB-237C-4159-9DA5-D2FDE192E2E8}"/>
    <cellStyle name="Normal 8 2 2 4 5 4" xfId="10729" xr:uid="{7A217995-CCC8-4987-9D31-50ADEE3C224D}"/>
    <cellStyle name="Normal 8 2 2 4 6" xfId="2634" xr:uid="{00000000-0005-0000-0000-00007E1C0000}"/>
    <cellStyle name="Normal 8 2 2 4 6 2" xfId="6918" xr:uid="{00000000-0005-0000-0000-00007F1C0000}"/>
    <cellStyle name="Normal 8 2 2 4 6 2 2" xfId="15360" xr:uid="{56AC767B-8577-4B83-9EEF-1DB5D1E9951D}"/>
    <cellStyle name="Normal 8 2 2 4 6 3" xfId="11142" xr:uid="{5D8B0CAC-03D3-4A32-B23E-E41FFE0F034E}"/>
    <cellStyle name="Normal 8 2 2 4 7" xfId="4853" xr:uid="{00000000-0005-0000-0000-0000801C0000}"/>
    <cellStyle name="Normal 8 2 2 4 7 2" xfId="13295" xr:uid="{FA194B94-273F-4E2E-8386-6424B7AF5C0D}"/>
    <cellStyle name="Normal 8 2 2 4 8" xfId="9077" xr:uid="{8D196EA0-A54F-4020-9659-95CDE341B43B}"/>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5F622EE3-3B03-42D0-80C4-9B44ED851BAF}"/>
    <cellStyle name="Normal 8 2 2 5 2 3" xfId="11628" xr:uid="{EACFA86A-381D-420C-8004-621691379FBD}"/>
    <cellStyle name="Normal 8 2 2 5 3" xfId="5259" xr:uid="{00000000-0005-0000-0000-0000841C0000}"/>
    <cellStyle name="Normal 8 2 2 5 3 2" xfId="13701" xr:uid="{C9B73294-2ED5-44A3-BE64-43ECAF09DA72}"/>
    <cellStyle name="Normal 8 2 2 5 4" xfId="9483" xr:uid="{E301CA43-8127-4B9F-A72E-AEEC17AD610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CFBB389F-9F5D-465C-B964-36E38C31B5A2}"/>
    <cellStyle name="Normal 8 2 2 6 2 3" xfId="12041" xr:uid="{F509E2D0-DB94-49F5-AE19-B08A45DED526}"/>
    <cellStyle name="Normal 8 2 2 6 3" xfId="5672" xr:uid="{00000000-0005-0000-0000-0000881C0000}"/>
    <cellStyle name="Normal 8 2 2 6 3 2" xfId="14114" xr:uid="{E636CE20-1FBA-4F13-AA6D-FCA525BB296C}"/>
    <cellStyle name="Normal 8 2 2 6 4" xfId="9896" xr:uid="{D02A867C-6F38-4B39-88DA-A3996AE03E29}"/>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2CE182AF-77F4-4715-9E88-4AFBFE813A92}"/>
    <cellStyle name="Normal 8 2 2 7 2 3" xfId="12454" xr:uid="{7C594965-8BD9-4309-966E-97094D443E7D}"/>
    <cellStyle name="Normal 8 2 2 7 3" xfId="6085" xr:uid="{00000000-0005-0000-0000-00008C1C0000}"/>
    <cellStyle name="Normal 8 2 2 7 3 2" xfId="14527" xr:uid="{42294C41-7AD3-4862-ACA6-D99A81780891}"/>
    <cellStyle name="Normal 8 2 2 7 4" xfId="10309" xr:uid="{D8FC33F4-7EEC-485D-9143-959CF1C6509B}"/>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A53907A7-19F7-49FF-8045-9B6B9D236BFF}"/>
    <cellStyle name="Normal 8 2 2 8 2 3" xfId="12867" xr:uid="{46157D0B-8059-439F-AFFA-0CCAC83045DE}"/>
    <cellStyle name="Normal 8 2 2 8 3" xfId="6498" xr:uid="{00000000-0005-0000-0000-0000901C0000}"/>
    <cellStyle name="Normal 8 2 2 8 3 2" xfId="14940" xr:uid="{5A6E86C0-92AE-4DBC-855C-C75ECE3BB388}"/>
    <cellStyle name="Normal 8 2 2 8 4" xfId="10722" xr:uid="{D4D4E0EC-E83A-408F-81B6-14200FD829F6}"/>
    <cellStyle name="Normal 8 2 2 9" xfId="2627" xr:uid="{00000000-0005-0000-0000-0000911C0000}"/>
    <cellStyle name="Normal 8 2 2 9 2" xfId="6911" xr:uid="{00000000-0005-0000-0000-0000921C0000}"/>
    <cellStyle name="Normal 8 2 2 9 2 2" xfId="15353" xr:uid="{DA14E4A1-ACE1-4C28-A723-BC19AC1D5B89}"/>
    <cellStyle name="Normal 8 2 2 9 3" xfId="11135" xr:uid="{B671C1C8-C83E-4481-B3CE-22F6D103E9F5}"/>
    <cellStyle name="Normal 8 2 3" xfId="488" xr:uid="{00000000-0005-0000-0000-0000931C0000}"/>
    <cellStyle name="Normal 8 2 3 10" xfId="9078" xr:uid="{9B207665-7FD4-4C8E-9E26-DEE959BD28F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9E34EC26-6D37-4686-8FF5-1AF5C60CD7CA}"/>
    <cellStyle name="Normal 8 2 3 2 2 2 2 3" xfId="11638" xr:uid="{733D7BDB-06E2-4935-81C3-45E9EAAE2765}"/>
    <cellStyle name="Normal 8 2 3 2 2 2 3" xfId="5269" xr:uid="{00000000-0005-0000-0000-0000991C0000}"/>
    <cellStyle name="Normal 8 2 3 2 2 2 3 2" xfId="13711" xr:uid="{3D023326-9B05-4AB2-817E-D0016B2061C8}"/>
    <cellStyle name="Normal 8 2 3 2 2 2 4" xfId="9493" xr:uid="{D0EA0B53-4789-4F36-A92B-BB906467D5E6}"/>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FB2089FE-A2BF-42C8-8906-13E446F9601F}"/>
    <cellStyle name="Normal 8 2 3 2 2 3 2 3" xfId="12051" xr:uid="{AE01142D-A1D6-495D-9960-55F18B3F3C52}"/>
    <cellStyle name="Normal 8 2 3 2 2 3 3" xfId="5682" xr:uid="{00000000-0005-0000-0000-00009D1C0000}"/>
    <cellStyle name="Normal 8 2 3 2 2 3 3 2" xfId="14124" xr:uid="{D2666624-4248-41D8-81C9-1B78A04C9FDA}"/>
    <cellStyle name="Normal 8 2 3 2 2 3 4" xfId="9906" xr:uid="{1524C289-F035-4405-B697-1BBE0E1DAC6C}"/>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DE662786-8FBE-45A3-8A01-46FF8A6A76D2}"/>
    <cellStyle name="Normal 8 2 3 2 2 4 2 3" xfId="12464" xr:uid="{5D6DAA5D-6F5F-4887-9C36-61F0E290766C}"/>
    <cellStyle name="Normal 8 2 3 2 2 4 3" xfId="6095" xr:uid="{00000000-0005-0000-0000-0000A11C0000}"/>
    <cellStyle name="Normal 8 2 3 2 2 4 3 2" xfId="14537" xr:uid="{59EFF914-D9A4-4FFC-9379-AD3D31C67B87}"/>
    <cellStyle name="Normal 8 2 3 2 2 4 4" xfId="10319" xr:uid="{1C870DEC-4839-4BE5-BFD6-3CE53FF5FF89}"/>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C113805F-5764-4CBC-91FE-2286DC8F1E83}"/>
    <cellStyle name="Normal 8 2 3 2 2 5 2 3" xfId="12877" xr:uid="{73D9326A-A0DF-4410-8D37-D81FD9C7616F}"/>
    <cellStyle name="Normal 8 2 3 2 2 5 3" xfId="6508" xr:uid="{00000000-0005-0000-0000-0000A51C0000}"/>
    <cellStyle name="Normal 8 2 3 2 2 5 3 2" xfId="14950" xr:uid="{632A0D2F-721C-416C-BBCD-123D24008ED9}"/>
    <cellStyle name="Normal 8 2 3 2 2 5 4" xfId="10732" xr:uid="{CC22743D-9DAA-4655-9119-999FB4827C5C}"/>
    <cellStyle name="Normal 8 2 3 2 2 6" xfId="2637" xr:uid="{00000000-0005-0000-0000-0000A61C0000}"/>
    <cellStyle name="Normal 8 2 3 2 2 6 2" xfId="6921" xr:uid="{00000000-0005-0000-0000-0000A71C0000}"/>
    <cellStyle name="Normal 8 2 3 2 2 6 2 2" xfId="15363" xr:uid="{75F3C12E-CA98-41E2-8AB2-4C5A3E8192CB}"/>
    <cellStyle name="Normal 8 2 3 2 2 6 3" xfId="11145" xr:uid="{84ABF413-07B3-4C14-B9BA-49A487073744}"/>
    <cellStyle name="Normal 8 2 3 2 2 7" xfId="4856" xr:uid="{00000000-0005-0000-0000-0000A81C0000}"/>
    <cellStyle name="Normal 8 2 3 2 2 7 2" xfId="13298" xr:uid="{5F50E038-A94B-418B-A837-5FB3524E1444}"/>
    <cellStyle name="Normal 8 2 3 2 2 8" xfId="9080" xr:uid="{0D05BC15-3A6D-454D-A60D-46238C125D92}"/>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B7E35EF4-8ADE-4008-B0D5-916FD30B7817}"/>
    <cellStyle name="Normal 8 2 3 2 3 2 3" xfId="11637" xr:uid="{A7E86D12-8E0A-4BA4-B26D-A455EEE37715}"/>
    <cellStyle name="Normal 8 2 3 2 3 3" xfId="5268" xr:uid="{00000000-0005-0000-0000-0000AC1C0000}"/>
    <cellStyle name="Normal 8 2 3 2 3 3 2" xfId="13710" xr:uid="{37441881-D69B-4763-8E92-FD77671145D7}"/>
    <cellStyle name="Normal 8 2 3 2 3 4" xfId="9492" xr:uid="{B4B40433-D584-4103-85F6-3838A0715C4D}"/>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4479F334-B105-4F44-91FA-82B95BFDA35D}"/>
    <cellStyle name="Normal 8 2 3 2 4 2 3" xfId="12050" xr:uid="{816FA068-7CAD-445B-903A-DC7330DA56EC}"/>
    <cellStyle name="Normal 8 2 3 2 4 3" xfId="5681" xr:uid="{00000000-0005-0000-0000-0000B01C0000}"/>
    <cellStyle name="Normal 8 2 3 2 4 3 2" xfId="14123" xr:uid="{3D79725C-F7BD-42F4-8FD2-26C06C657840}"/>
    <cellStyle name="Normal 8 2 3 2 4 4" xfId="9905" xr:uid="{467DEBDB-F0AE-46DE-B94F-583AFEDB81FA}"/>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DC16DABD-F2FA-45A3-ACE1-222F0C9F6EEC}"/>
    <cellStyle name="Normal 8 2 3 2 5 2 3" xfId="12463" xr:uid="{C9ACF68D-F9A5-4F5E-B78C-21C35D05D917}"/>
    <cellStyle name="Normal 8 2 3 2 5 3" xfId="6094" xr:uid="{00000000-0005-0000-0000-0000B41C0000}"/>
    <cellStyle name="Normal 8 2 3 2 5 3 2" xfId="14536" xr:uid="{F9B459D4-E2CD-4F2C-A050-D58A7F094696}"/>
    <cellStyle name="Normal 8 2 3 2 5 4" xfId="10318" xr:uid="{3B3A8703-AAFF-4A2F-8AC3-514C1F258085}"/>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D9AD8A9E-CD76-44B1-9955-F270E71705C2}"/>
    <cellStyle name="Normal 8 2 3 2 6 2 3" xfId="12876" xr:uid="{BD0F2D79-0EFF-4BEE-8088-F737D01631F0}"/>
    <cellStyle name="Normal 8 2 3 2 6 3" xfId="6507" xr:uid="{00000000-0005-0000-0000-0000B81C0000}"/>
    <cellStyle name="Normal 8 2 3 2 6 3 2" xfId="14949" xr:uid="{D9E0BC0C-F639-4DB7-9062-29BC59DA4C6E}"/>
    <cellStyle name="Normal 8 2 3 2 6 4" xfId="10731" xr:uid="{DD16AECB-94DC-40D2-B714-C9E90E3A267E}"/>
    <cellStyle name="Normal 8 2 3 2 7" xfId="2636" xr:uid="{00000000-0005-0000-0000-0000B91C0000}"/>
    <cellStyle name="Normal 8 2 3 2 7 2" xfId="6920" xr:uid="{00000000-0005-0000-0000-0000BA1C0000}"/>
    <cellStyle name="Normal 8 2 3 2 7 2 2" xfId="15362" xr:uid="{66885A59-5A48-4F61-BE55-64A8131A2030}"/>
    <cellStyle name="Normal 8 2 3 2 7 3" xfId="11144" xr:uid="{4EB99B90-36A0-4C3C-AF48-47C3C13E9E51}"/>
    <cellStyle name="Normal 8 2 3 2 8" xfId="4855" xr:uid="{00000000-0005-0000-0000-0000BB1C0000}"/>
    <cellStyle name="Normal 8 2 3 2 8 2" xfId="13297" xr:uid="{C0306A16-FA2D-4CED-A57A-DFACD4246064}"/>
    <cellStyle name="Normal 8 2 3 2 9" xfId="9079" xr:uid="{4671D799-EFDA-422E-AD49-7D134A164211}"/>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6C350BC8-4A87-4E86-AD7B-7449296EF3B2}"/>
    <cellStyle name="Normal 8 2 3 3 2 2 3" xfId="11639" xr:uid="{C5C8C0E8-4361-4FD8-A48F-A70DA43CB98B}"/>
    <cellStyle name="Normal 8 2 3 3 2 3" xfId="5270" xr:uid="{00000000-0005-0000-0000-0000C01C0000}"/>
    <cellStyle name="Normal 8 2 3 3 2 3 2" xfId="13712" xr:uid="{11890629-6D3F-41A1-8E1A-B8FEBA558140}"/>
    <cellStyle name="Normal 8 2 3 3 2 4" xfId="9494" xr:uid="{2320C2EF-6F2F-4FD4-9367-79F71210C0EC}"/>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16D03F6A-C01C-4A48-9007-66C56EC38208}"/>
    <cellStyle name="Normal 8 2 3 3 3 2 3" xfId="12052" xr:uid="{C87C955B-EC6F-401C-8EF9-314C1B9A4B4F}"/>
    <cellStyle name="Normal 8 2 3 3 3 3" xfId="5683" xr:uid="{00000000-0005-0000-0000-0000C41C0000}"/>
    <cellStyle name="Normal 8 2 3 3 3 3 2" xfId="14125" xr:uid="{21AABFC5-0CDE-4C9A-A186-95AB8397DE4B}"/>
    <cellStyle name="Normal 8 2 3 3 3 4" xfId="9907" xr:uid="{7F55F93A-A663-4630-A363-555FD5207839}"/>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6D544594-9830-4CE3-8881-5C3E20113DC4}"/>
    <cellStyle name="Normal 8 2 3 3 4 2 3" xfId="12465" xr:uid="{B8863501-2420-48D1-BB12-0F21613BF09B}"/>
    <cellStyle name="Normal 8 2 3 3 4 3" xfId="6096" xr:uid="{00000000-0005-0000-0000-0000C81C0000}"/>
    <cellStyle name="Normal 8 2 3 3 4 3 2" xfId="14538" xr:uid="{3737D99A-5868-4DBF-B74C-A539E20BD097}"/>
    <cellStyle name="Normal 8 2 3 3 4 4" xfId="10320" xr:uid="{6A215BEA-B605-4A71-89D8-6FE86033DAC9}"/>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D8558349-26E3-4E99-B3E3-D5DCD421EB9D}"/>
    <cellStyle name="Normal 8 2 3 3 5 2 3" xfId="12878" xr:uid="{522BDA5D-8A51-4603-AA5E-5A665BA62E01}"/>
    <cellStyle name="Normal 8 2 3 3 5 3" xfId="6509" xr:uid="{00000000-0005-0000-0000-0000CC1C0000}"/>
    <cellStyle name="Normal 8 2 3 3 5 3 2" xfId="14951" xr:uid="{7BDA59C9-F634-4884-B979-60C19E1CA879}"/>
    <cellStyle name="Normal 8 2 3 3 5 4" xfId="10733" xr:uid="{C6F65FCE-3C67-4B6B-A40B-49931A419919}"/>
    <cellStyle name="Normal 8 2 3 3 6" xfId="2638" xr:uid="{00000000-0005-0000-0000-0000CD1C0000}"/>
    <cellStyle name="Normal 8 2 3 3 6 2" xfId="6922" xr:uid="{00000000-0005-0000-0000-0000CE1C0000}"/>
    <cellStyle name="Normal 8 2 3 3 6 2 2" xfId="15364" xr:uid="{3C5023B6-56A6-48ED-91BA-0F6816917D50}"/>
    <cellStyle name="Normal 8 2 3 3 6 3" xfId="11146" xr:uid="{59A794E5-9360-49E3-A721-1AFA08A5A701}"/>
    <cellStyle name="Normal 8 2 3 3 7" xfId="4857" xr:uid="{00000000-0005-0000-0000-0000CF1C0000}"/>
    <cellStyle name="Normal 8 2 3 3 7 2" xfId="13299" xr:uid="{50E16FF4-AF5D-414F-8554-A778D835C504}"/>
    <cellStyle name="Normal 8 2 3 3 8" xfId="9081" xr:uid="{3B7ADA5B-49FC-472E-AA44-6F7D9A6A9E23}"/>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A584A7A-920E-4C95-A957-EB95FBD5D7D2}"/>
    <cellStyle name="Normal 8 2 3 4 2 3" xfId="11636" xr:uid="{9DB5821B-7B8A-485F-B157-BD2EEBBBDBB9}"/>
    <cellStyle name="Normal 8 2 3 4 3" xfId="5267" xr:uid="{00000000-0005-0000-0000-0000D31C0000}"/>
    <cellStyle name="Normal 8 2 3 4 3 2" xfId="13709" xr:uid="{ABF08259-4E05-43C2-8F2D-2853F2CCE1D8}"/>
    <cellStyle name="Normal 8 2 3 4 4" xfId="9491" xr:uid="{C03F3C60-80D1-4B9C-9020-DFD59BCCA123}"/>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E433354C-59EA-4C8B-8A11-FE90FEEB870D}"/>
    <cellStyle name="Normal 8 2 3 5 2 3" xfId="12049" xr:uid="{3108EFEB-21E6-4B81-BD4F-A88DC5016998}"/>
    <cellStyle name="Normal 8 2 3 5 3" xfId="5680" xr:uid="{00000000-0005-0000-0000-0000D71C0000}"/>
    <cellStyle name="Normal 8 2 3 5 3 2" xfId="14122" xr:uid="{307D7451-F3AC-4E26-9EF2-D9395C83E1E1}"/>
    <cellStyle name="Normal 8 2 3 5 4" xfId="9904" xr:uid="{BB86AD0E-23E2-483F-9930-E672B6BC3B24}"/>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EFF8D2C7-53FF-44F3-AA1D-F347CA6E7BE5}"/>
    <cellStyle name="Normal 8 2 3 6 2 3" xfId="12462" xr:uid="{96583848-DE1E-40EE-A06C-975E26DDD2A0}"/>
    <cellStyle name="Normal 8 2 3 6 3" xfId="6093" xr:uid="{00000000-0005-0000-0000-0000DB1C0000}"/>
    <cellStyle name="Normal 8 2 3 6 3 2" xfId="14535" xr:uid="{F350559F-CCAE-4353-B25D-6A336B160673}"/>
    <cellStyle name="Normal 8 2 3 6 4" xfId="10317" xr:uid="{71EE5EBE-686D-4E8A-9BBB-7087AA33B315}"/>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EC43C1BD-40B0-41BD-948C-DB19014BC580}"/>
    <cellStyle name="Normal 8 2 3 7 2 3" xfId="12875" xr:uid="{7FDEE18D-ACB0-485A-9A4B-7034C18FF391}"/>
    <cellStyle name="Normal 8 2 3 7 3" xfId="6506" xr:uid="{00000000-0005-0000-0000-0000DF1C0000}"/>
    <cellStyle name="Normal 8 2 3 7 3 2" xfId="14948" xr:uid="{6B3B4036-EA15-4531-8ED9-314B1BBD35C6}"/>
    <cellStyle name="Normal 8 2 3 7 4" xfId="10730" xr:uid="{B568C60F-C2F0-45E2-801D-306A5E9B57B6}"/>
    <cellStyle name="Normal 8 2 3 8" xfId="2635" xr:uid="{00000000-0005-0000-0000-0000E01C0000}"/>
    <cellStyle name="Normal 8 2 3 8 2" xfId="6919" xr:uid="{00000000-0005-0000-0000-0000E11C0000}"/>
    <cellStyle name="Normal 8 2 3 8 2 2" xfId="15361" xr:uid="{71DDC317-AA55-4A98-AE86-8317D614C0C3}"/>
    <cellStyle name="Normal 8 2 3 8 3" xfId="11143" xr:uid="{33D6EDA1-A504-4F6F-8E10-CAF87E38B208}"/>
    <cellStyle name="Normal 8 2 3 9" xfId="4854" xr:uid="{00000000-0005-0000-0000-0000E21C0000}"/>
    <cellStyle name="Normal 8 2 3 9 2" xfId="13296" xr:uid="{C34EC678-C71F-417F-83E9-7539E5155D7D}"/>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F5B9132C-D6F8-454F-893C-B0B74BD26445}"/>
    <cellStyle name="Normal 8 2 4 2 2 2 3" xfId="11641" xr:uid="{74D696D9-4C6E-4CF4-8E83-1CB3E53F6CEA}"/>
    <cellStyle name="Normal 8 2 4 2 2 3" xfId="5272" xr:uid="{00000000-0005-0000-0000-0000E81C0000}"/>
    <cellStyle name="Normal 8 2 4 2 2 3 2" xfId="13714" xr:uid="{45D3F61D-3AD2-49F7-89B2-4205AB799C11}"/>
    <cellStyle name="Normal 8 2 4 2 2 4" xfId="9496" xr:uid="{0FF4B8C9-1CB8-40EE-90CF-810E088CF66C}"/>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D782C7B9-868D-4C6B-A89C-168044A83FF4}"/>
    <cellStyle name="Normal 8 2 4 2 3 2 3" xfId="12054" xr:uid="{2EDA7E12-E441-4F2C-80DD-B6DDBFAA1053}"/>
    <cellStyle name="Normal 8 2 4 2 3 3" xfId="5685" xr:uid="{00000000-0005-0000-0000-0000EC1C0000}"/>
    <cellStyle name="Normal 8 2 4 2 3 3 2" xfId="14127" xr:uid="{91FCEFB7-C461-416B-B3BA-DE6A291EEA46}"/>
    <cellStyle name="Normal 8 2 4 2 3 4" xfId="9909" xr:uid="{9BE799EF-AC59-4933-A67C-459045E0F9A1}"/>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542805D9-D2D0-4A69-A9C9-52A1CDB6B2F7}"/>
    <cellStyle name="Normal 8 2 4 2 4 2 3" xfId="12467" xr:uid="{0B34964C-7E47-4B76-9050-D6D43A5B9F49}"/>
    <cellStyle name="Normal 8 2 4 2 4 3" xfId="6098" xr:uid="{00000000-0005-0000-0000-0000F01C0000}"/>
    <cellStyle name="Normal 8 2 4 2 4 3 2" xfId="14540" xr:uid="{58B8AC6F-F3A5-494A-B60F-286662D8B8D9}"/>
    <cellStyle name="Normal 8 2 4 2 4 4" xfId="10322" xr:uid="{1B7BC72F-D5F5-4ED4-916C-AE0E1480A4B8}"/>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6870116B-40A9-4988-95BF-AD5E259B902D}"/>
    <cellStyle name="Normal 8 2 4 2 5 2 3" xfId="12880" xr:uid="{09C48CA5-4901-4F69-9539-5CDE99A798FC}"/>
    <cellStyle name="Normal 8 2 4 2 5 3" xfId="6511" xr:uid="{00000000-0005-0000-0000-0000F41C0000}"/>
    <cellStyle name="Normal 8 2 4 2 5 3 2" xfId="14953" xr:uid="{7608BE42-26C2-45F2-8850-642A55AD6C36}"/>
    <cellStyle name="Normal 8 2 4 2 5 4" xfId="10735" xr:uid="{203EC9E3-B673-4D22-B3C0-0CB60E1CD1E4}"/>
    <cellStyle name="Normal 8 2 4 2 6" xfId="2640" xr:uid="{00000000-0005-0000-0000-0000F51C0000}"/>
    <cellStyle name="Normal 8 2 4 2 6 2" xfId="6924" xr:uid="{00000000-0005-0000-0000-0000F61C0000}"/>
    <cellStyle name="Normal 8 2 4 2 6 2 2" xfId="15366" xr:uid="{C6ED1C18-5CDE-4C6A-AF6D-602B1B7B6E07}"/>
    <cellStyle name="Normal 8 2 4 2 6 3" xfId="11148" xr:uid="{DA46E985-0D11-4F0F-82B3-44FF9181B25A}"/>
    <cellStyle name="Normal 8 2 4 2 7" xfId="4859" xr:uid="{00000000-0005-0000-0000-0000F71C0000}"/>
    <cellStyle name="Normal 8 2 4 2 7 2" xfId="13301" xr:uid="{BE23DBBE-4EFA-427F-9058-841A60E52769}"/>
    <cellStyle name="Normal 8 2 4 2 8" xfId="9083" xr:uid="{D9C67C15-6873-4408-B014-C6513E05687B}"/>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04267A57-1680-47D7-AEF3-E6FF646CF907}"/>
    <cellStyle name="Normal 8 2 4 3 2 3" xfId="11640" xr:uid="{CD58D550-6F04-4643-BFDD-70CAFBE97CFC}"/>
    <cellStyle name="Normal 8 2 4 3 3" xfId="5271" xr:uid="{00000000-0005-0000-0000-0000FB1C0000}"/>
    <cellStyle name="Normal 8 2 4 3 3 2" xfId="13713" xr:uid="{EE7C2218-1AA5-4C8C-A02C-5514C7CF4434}"/>
    <cellStyle name="Normal 8 2 4 3 4" xfId="9495" xr:uid="{EF5BE311-8D4C-40D7-8DC8-DB3E9B8765AF}"/>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8AE6CBF9-14A7-41CC-82F4-A906777F4E35}"/>
    <cellStyle name="Normal 8 2 4 4 2 3" xfId="12053" xr:uid="{24249D54-B691-4586-A5A8-297DAB0F7199}"/>
    <cellStyle name="Normal 8 2 4 4 3" xfId="5684" xr:uid="{00000000-0005-0000-0000-0000FF1C0000}"/>
    <cellStyle name="Normal 8 2 4 4 3 2" xfId="14126" xr:uid="{590C42FE-3D3A-42E8-9869-D4B5FAE60410}"/>
    <cellStyle name="Normal 8 2 4 4 4" xfId="9908" xr:uid="{02280F93-BED7-41C8-B1A3-38F889463594}"/>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D0DE84AE-7670-4DC3-A257-5BF43D03FDA0}"/>
    <cellStyle name="Normal 8 2 4 5 2 3" xfId="12466" xr:uid="{3F06B435-8865-458F-8B8E-0928F0A835BF}"/>
    <cellStyle name="Normal 8 2 4 5 3" xfId="6097" xr:uid="{00000000-0005-0000-0000-0000031D0000}"/>
    <cellStyle name="Normal 8 2 4 5 3 2" xfId="14539" xr:uid="{DB686808-263B-4470-9F02-79C40C6AD1C5}"/>
    <cellStyle name="Normal 8 2 4 5 4" xfId="10321" xr:uid="{D160DB62-38DA-4383-B059-982207EB7364}"/>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C7374B2A-DDD7-4755-B21A-19671FBDD83C}"/>
    <cellStyle name="Normal 8 2 4 6 2 3" xfId="12879" xr:uid="{A7B12EFF-1862-4853-B546-579E98F0DBFD}"/>
    <cellStyle name="Normal 8 2 4 6 3" xfId="6510" xr:uid="{00000000-0005-0000-0000-0000071D0000}"/>
    <cellStyle name="Normal 8 2 4 6 3 2" xfId="14952" xr:uid="{7FD95ED8-EB6F-4884-9CD0-146010A7766A}"/>
    <cellStyle name="Normal 8 2 4 6 4" xfId="10734" xr:uid="{72F49700-BEE9-4371-897B-89F20B6E8FF9}"/>
    <cellStyle name="Normal 8 2 4 7" xfId="2639" xr:uid="{00000000-0005-0000-0000-0000081D0000}"/>
    <cellStyle name="Normal 8 2 4 7 2" xfId="6923" xr:uid="{00000000-0005-0000-0000-0000091D0000}"/>
    <cellStyle name="Normal 8 2 4 7 2 2" xfId="15365" xr:uid="{977EF85C-2C59-446C-935E-AEA74D1E81F3}"/>
    <cellStyle name="Normal 8 2 4 7 3" xfId="11147" xr:uid="{D083449F-E6C2-463D-BDA4-84D1EF78BC3C}"/>
    <cellStyle name="Normal 8 2 4 8" xfId="4858" xr:uid="{00000000-0005-0000-0000-00000A1D0000}"/>
    <cellStyle name="Normal 8 2 4 8 2" xfId="13300" xr:uid="{6BCAD37D-05C4-424F-AF3E-ADFCA48B3CC0}"/>
    <cellStyle name="Normal 8 2 4 9" xfId="9082" xr:uid="{F9805939-5958-4F99-AF23-2D912733B559}"/>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2157E687-EFDC-4766-AC63-9BCEB1F46795}"/>
    <cellStyle name="Normal 8 2 5 2 2 3" xfId="11642" xr:uid="{404AB16D-8D2B-44DE-91EB-B768ED916318}"/>
    <cellStyle name="Normal 8 2 5 2 3" xfId="5273" xr:uid="{00000000-0005-0000-0000-00000F1D0000}"/>
    <cellStyle name="Normal 8 2 5 2 3 2" xfId="13715" xr:uid="{93ABE563-E055-43C4-A03C-40C5BD20C00E}"/>
    <cellStyle name="Normal 8 2 5 2 4" xfId="9497" xr:uid="{C14F207A-B1E6-4179-9F05-B9AEA3ADE752}"/>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0F9C202B-9838-4949-BDCE-63A17B4315DE}"/>
    <cellStyle name="Normal 8 2 5 3 2 3" xfId="12055" xr:uid="{5AC65B81-6E41-495A-B97C-8BC9517AD286}"/>
    <cellStyle name="Normal 8 2 5 3 3" xfId="5686" xr:uid="{00000000-0005-0000-0000-0000131D0000}"/>
    <cellStyle name="Normal 8 2 5 3 3 2" xfId="14128" xr:uid="{7E544220-3567-4CF7-924C-3A03C230910A}"/>
    <cellStyle name="Normal 8 2 5 3 4" xfId="9910" xr:uid="{FD5B3B0A-136F-49A1-9E06-728FF3221EF5}"/>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A9B444B-966B-490C-979A-B3965DD9AF4C}"/>
    <cellStyle name="Normal 8 2 5 4 2 3" xfId="12468" xr:uid="{E4E22C3F-F7D1-461A-88C3-44BA041BC41A}"/>
    <cellStyle name="Normal 8 2 5 4 3" xfId="6099" xr:uid="{00000000-0005-0000-0000-0000171D0000}"/>
    <cellStyle name="Normal 8 2 5 4 3 2" xfId="14541" xr:uid="{4C0FE171-5959-49B4-8F29-99FF09690C56}"/>
    <cellStyle name="Normal 8 2 5 4 4" xfId="10323" xr:uid="{98266DD8-1C29-4C86-AA6E-C3C2C5849FC8}"/>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DF1CF721-9850-4841-94A9-162F8E2A704F}"/>
    <cellStyle name="Normal 8 2 5 5 2 3" xfId="12881" xr:uid="{ADFBF6BB-A7BF-441A-AD3F-D51CFF036F0B}"/>
    <cellStyle name="Normal 8 2 5 5 3" xfId="6512" xr:uid="{00000000-0005-0000-0000-00001B1D0000}"/>
    <cellStyle name="Normal 8 2 5 5 3 2" xfId="14954" xr:uid="{2FB737EF-389D-41C7-BB02-13A68E3E92BA}"/>
    <cellStyle name="Normal 8 2 5 5 4" xfId="10736" xr:uid="{79CBA162-8036-4669-9F57-1A0674D5E38B}"/>
    <cellStyle name="Normal 8 2 5 6" xfId="2641" xr:uid="{00000000-0005-0000-0000-00001C1D0000}"/>
    <cellStyle name="Normal 8 2 5 6 2" xfId="6925" xr:uid="{00000000-0005-0000-0000-00001D1D0000}"/>
    <cellStyle name="Normal 8 2 5 6 2 2" xfId="15367" xr:uid="{6F9FC760-9C02-46D7-A309-C5E69A1EB10B}"/>
    <cellStyle name="Normal 8 2 5 6 3" xfId="11149" xr:uid="{E4F0F2E7-0210-4D65-85E5-C33C2908F6E0}"/>
    <cellStyle name="Normal 8 2 5 7" xfId="4860" xr:uid="{00000000-0005-0000-0000-00001E1D0000}"/>
    <cellStyle name="Normal 8 2 5 7 2" xfId="13302" xr:uid="{1B56F615-8BB9-4CEA-894C-DC2C44871C8A}"/>
    <cellStyle name="Normal 8 2 5 8" xfId="9084" xr:uid="{FF8654A0-0AE7-40A3-8950-506D114249CE}"/>
    <cellStyle name="Normal 8 2 6" xfId="946" xr:uid="{00000000-0005-0000-0000-00001F1D0000}"/>
    <cellStyle name="Normal 8 2 6 2" xfId="3180" xr:uid="{00000000-0005-0000-0000-0000201D0000}"/>
    <cellStyle name="Normal 8 2 6 2 2" xfId="7403" xr:uid="{00000000-0005-0000-0000-0000211D0000}"/>
    <cellStyle name="Normal 8 2 6 2 2 2" xfId="15845" xr:uid="{BB510D4F-B5BD-4345-B20C-6D2A1D80BF7B}"/>
    <cellStyle name="Normal 8 2 6 2 3" xfId="11627" xr:uid="{6760ECDB-5340-4C68-99C2-9A1D278CB36D}"/>
    <cellStyle name="Normal 8 2 6 3" xfId="5258" xr:uid="{00000000-0005-0000-0000-0000221D0000}"/>
    <cellStyle name="Normal 8 2 6 3 2" xfId="13700" xr:uid="{DE72FFE6-4083-4388-8A76-94F025E73440}"/>
    <cellStyle name="Normal 8 2 6 4" xfId="9482" xr:uid="{D2A3F7B5-6B81-474F-B732-F92E79954ED1}"/>
    <cellStyle name="Normal 8 2 7" xfId="1363" xr:uid="{00000000-0005-0000-0000-0000231D0000}"/>
    <cellStyle name="Normal 8 2 7 2" xfId="3593" xr:uid="{00000000-0005-0000-0000-0000241D0000}"/>
    <cellStyle name="Normal 8 2 7 2 2" xfId="7816" xr:uid="{00000000-0005-0000-0000-0000251D0000}"/>
    <cellStyle name="Normal 8 2 7 2 2 2" xfId="16258" xr:uid="{11045D52-1BD0-49AD-9E3B-52B3A25C4675}"/>
    <cellStyle name="Normal 8 2 7 2 3" xfId="12040" xr:uid="{EDF3C5BB-59AD-401B-AC98-EE5FA8250D02}"/>
    <cellStyle name="Normal 8 2 7 3" xfId="5671" xr:uid="{00000000-0005-0000-0000-0000261D0000}"/>
    <cellStyle name="Normal 8 2 7 3 2" xfId="14113" xr:uid="{01073B7A-27C5-4C7D-8CE4-1F1959E8FA01}"/>
    <cellStyle name="Normal 8 2 7 4" xfId="9895" xr:uid="{BEA83F1D-1C0A-4A65-B28A-9E1A5663F947}"/>
    <cellStyle name="Normal 8 2 8" xfId="1776" xr:uid="{00000000-0005-0000-0000-0000271D0000}"/>
    <cellStyle name="Normal 8 2 8 2" xfId="4006" xr:uid="{00000000-0005-0000-0000-0000281D0000}"/>
    <cellStyle name="Normal 8 2 8 2 2" xfId="8229" xr:uid="{00000000-0005-0000-0000-0000291D0000}"/>
    <cellStyle name="Normal 8 2 8 2 2 2" xfId="16671" xr:uid="{D28A0B9B-18B9-4AF1-85EC-DB3309F48EBD}"/>
    <cellStyle name="Normal 8 2 8 2 3" xfId="12453" xr:uid="{9641F006-5080-44F3-9957-830D607EEBB4}"/>
    <cellStyle name="Normal 8 2 8 3" xfId="6084" xr:uid="{00000000-0005-0000-0000-00002A1D0000}"/>
    <cellStyle name="Normal 8 2 8 3 2" xfId="14526" xr:uid="{C8EFA4F8-ABF5-46BA-83F5-6ECC2116EB3A}"/>
    <cellStyle name="Normal 8 2 8 4" xfId="10308" xr:uid="{8A292A0A-E712-4B83-A72F-3AADD76DD0AC}"/>
    <cellStyle name="Normal 8 2 9" xfId="2190" xr:uid="{00000000-0005-0000-0000-00002B1D0000}"/>
    <cellStyle name="Normal 8 2 9 2" xfId="4419" xr:uid="{00000000-0005-0000-0000-00002C1D0000}"/>
    <cellStyle name="Normal 8 2 9 2 2" xfId="8642" xr:uid="{00000000-0005-0000-0000-00002D1D0000}"/>
    <cellStyle name="Normal 8 2 9 2 2 2" xfId="17084" xr:uid="{BDAA5BD3-337E-4F9C-A4A7-2D89E9CB8BBC}"/>
    <cellStyle name="Normal 8 2 9 2 3" xfId="12866" xr:uid="{50E0FD5E-4C1E-40D7-A68D-5F97683CA941}"/>
    <cellStyle name="Normal 8 2 9 3" xfId="6497" xr:uid="{00000000-0005-0000-0000-00002E1D0000}"/>
    <cellStyle name="Normal 8 2 9 3 2" xfId="14939" xr:uid="{32254776-EA72-42C3-A3FA-D1144353418B}"/>
    <cellStyle name="Normal 8 2 9 4" xfId="10721" xr:uid="{D30DDDB3-74A3-40E8-A29F-63268202A779}"/>
    <cellStyle name="Normal 8 3" xfId="495" xr:uid="{00000000-0005-0000-0000-00002F1D0000}"/>
    <cellStyle name="Normal 8 3 10" xfId="4861" xr:uid="{00000000-0005-0000-0000-0000301D0000}"/>
    <cellStyle name="Normal 8 3 10 2" xfId="13303" xr:uid="{11BDE8F7-AD1E-4EA7-B5DF-17B2AC4AC0E2}"/>
    <cellStyle name="Normal 8 3 11" xfId="9085" xr:uid="{CC7AA9D9-8B91-4B31-AA31-1649A784708B}"/>
    <cellStyle name="Normal 8 3 2" xfId="496" xr:uid="{00000000-0005-0000-0000-0000311D0000}"/>
    <cellStyle name="Normal 8 3 2 10" xfId="9086" xr:uid="{94498D99-9392-46FC-B125-AC3559E682D7}"/>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919D866A-B564-46C0-A258-134BE6605B8A}"/>
    <cellStyle name="Normal 8 3 2 2 2 2 2 3" xfId="11646" xr:uid="{4CF8A9F1-7F4C-4C5C-A426-1FECCEC6AE6A}"/>
    <cellStyle name="Normal 8 3 2 2 2 2 3" xfId="5277" xr:uid="{00000000-0005-0000-0000-0000371D0000}"/>
    <cellStyle name="Normal 8 3 2 2 2 2 3 2" xfId="13719" xr:uid="{B52616AF-DD09-4A9C-945E-C07DFD39D9BE}"/>
    <cellStyle name="Normal 8 3 2 2 2 2 4" xfId="9501" xr:uid="{243C2D14-D6F1-4C78-937A-4CFE414F28BC}"/>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06DFECE1-4C7D-4A03-8813-F177E8E07BE2}"/>
    <cellStyle name="Normal 8 3 2 2 2 3 2 3" xfId="12059" xr:uid="{ED6693B1-BAF7-4D58-95EA-C016FA85D3DA}"/>
    <cellStyle name="Normal 8 3 2 2 2 3 3" xfId="5690" xr:uid="{00000000-0005-0000-0000-00003B1D0000}"/>
    <cellStyle name="Normal 8 3 2 2 2 3 3 2" xfId="14132" xr:uid="{B131AC21-5FB5-464A-B4DC-3200C6121FF4}"/>
    <cellStyle name="Normal 8 3 2 2 2 3 4" xfId="9914" xr:uid="{7D5C172C-30BB-4FE2-AB8C-66BA12C2765B}"/>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1C53B074-F583-44CC-B9CF-2135BD221122}"/>
    <cellStyle name="Normal 8 3 2 2 2 4 2 3" xfId="12472" xr:uid="{F4ECE7DD-84CE-4CE1-B2C4-9BEA749963F1}"/>
    <cellStyle name="Normal 8 3 2 2 2 4 3" xfId="6103" xr:uid="{00000000-0005-0000-0000-00003F1D0000}"/>
    <cellStyle name="Normal 8 3 2 2 2 4 3 2" xfId="14545" xr:uid="{F9B7029B-1F2C-4F8E-9ABF-2F27D7EF2AD7}"/>
    <cellStyle name="Normal 8 3 2 2 2 4 4" xfId="10327" xr:uid="{A95B6F6E-7EFA-4477-AD66-A96B9A012B67}"/>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5A9F7D3B-BB4D-45D0-9D88-7B2F62071013}"/>
    <cellStyle name="Normal 8 3 2 2 2 5 2 3" xfId="12885" xr:uid="{792C9DF5-281B-4B2E-9E07-7497A043FBC1}"/>
    <cellStyle name="Normal 8 3 2 2 2 5 3" xfId="6516" xr:uid="{00000000-0005-0000-0000-0000431D0000}"/>
    <cellStyle name="Normal 8 3 2 2 2 5 3 2" xfId="14958" xr:uid="{36C7AB2A-F579-4812-97FD-DF92656603C4}"/>
    <cellStyle name="Normal 8 3 2 2 2 5 4" xfId="10740" xr:uid="{012E240C-2576-4FE3-99C9-B75C20D2B9EB}"/>
    <cellStyle name="Normal 8 3 2 2 2 6" xfId="2645" xr:uid="{00000000-0005-0000-0000-0000441D0000}"/>
    <cellStyle name="Normal 8 3 2 2 2 6 2" xfId="6929" xr:uid="{00000000-0005-0000-0000-0000451D0000}"/>
    <cellStyle name="Normal 8 3 2 2 2 6 2 2" xfId="15371" xr:uid="{EF53B5F1-6A6C-418D-BB00-5164AD1034DE}"/>
    <cellStyle name="Normal 8 3 2 2 2 6 3" xfId="11153" xr:uid="{C590F4F5-2D88-4908-915E-1F8592F10C7A}"/>
    <cellStyle name="Normal 8 3 2 2 2 7" xfId="4864" xr:uid="{00000000-0005-0000-0000-0000461D0000}"/>
    <cellStyle name="Normal 8 3 2 2 2 7 2" xfId="13306" xr:uid="{FCDDC03B-DD58-4DCC-B21B-E9A0571EDA50}"/>
    <cellStyle name="Normal 8 3 2 2 2 8" xfId="9088" xr:uid="{1ED8C909-AB1D-4B12-8FCB-EEFBF9BFCA34}"/>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113AB4EC-0C08-4E82-92FC-3E1EADEF85DC}"/>
    <cellStyle name="Normal 8 3 2 2 3 2 3" xfId="11645" xr:uid="{4D7460F2-EB22-44CD-A1EF-67FCECE28D98}"/>
    <cellStyle name="Normal 8 3 2 2 3 3" xfId="5276" xr:uid="{00000000-0005-0000-0000-00004A1D0000}"/>
    <cellStyle name="Normal 8 3 2 2 3 3 2" xfId="13718" xr:uid="{A4F571CE-AE0D-48BB-979A-16C1BE2FBBB3}"/>
    <cellStyle name="Normal 8 3 2 2 3 4" xfId="9500" xr:uid="{91317420-1DF3-4B95-BA0F-30C10225B454}"/>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819D08E8-5F42-4CB8-B49D-87551546951D}"/>
    <cellStyle name="Normal 8 3 2 2 4 2 3" xfId="12058" xr:uid="{5510FB07-820D-4693-9619-0EFAA0A92ADE}"/>
    <cellStyle name="Normal 8 3 2 2 4 3" xfId="5689" xr:uid="{00000000-0005-0000-0000-00004E1D0000}"/>
    <cellStyle name="Normal 8 3 2 2 4 3 2" xfId="14131" xr:uid="{542B60B3-1250-4F54-B7AE-844877B140FB}"/>
    <cellStyle name="Normal 8 3 2 2 4 4" xfId="9913" xr:uid="{CD7BA8B4-6F94-4DE9-8B10-E421576264B1}"/>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D8515116-96F7-424D-8598-2EB0BD474BB2}"/>
    <cellStyle name="Normal 8 3 2 2 5 2 3" xfId="12471" xr:uid="{54ED5823-E4AF-4C45-B68D-C16408B79847}"/>
    <cellStyle name="Normal 8 3 2 2 5 3" xfId="6102" xr:uid="{00000000-0005-0000-0000-0000521D0000}"/>
    <cellStyle name="Normal 8 3 2 2 5 3 2" xfId="14544" xr:uid="{460FFA0F-6F55-4BE6-A83A-7A3E41C87478}"/>
    <cellStyle name="Normal 8 3 2 2 5 4" xfId="10326" xr:uid="{FB5C98F7-C114-4874-B058-A1966CC8EA96}"/>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4629810E-A1F7-472D-B76A-2AC8CE95ED06}"/>
    <cellStyle name="Normal 8 3 2 2 6 2 3" xfId="12884" xr:uid="{C546DAC6-CBB4-4ED8-A6FD-9CEAA51E00AF}"/>
    <cellStyle name="Normal 8 3 2 2 6 3" xfId="6515" xr:uid="{00000000-0005-0000-0000-0000561D0000}"/>
    <cellStyle name="Normal 8 3 2 2 6 3 2" xfId="14957" xr:uid="{EAD8DC48-C678-417A-A531-5D677705A466}"/>
    <cellStyle name="Normal 8 3 2 2 6 4" xfId="10739" xr:uid="{B8B90AB9-A50D-47B8-B107-E4A9EA496D57}"/>
    <cellStyle name="Normal 8 3 2 2 7" xfId="2644" xr:uid="{00000000-0005-0000-0000-0000571D0000}"/>
    <cellStyle name="Normal 8 3 2 2 7 2" xfId="6928" xr:uid="{00000000-0005-0000-0000-0000581D0000}"/>
    <cellStyle name="Normal 8 3 2 2 7 2 2" xfId="15370" xr:uid="{85CDAAF5-0D6F-405F-9467-26998D3A9D49}"/>
    <cellStyle name="Normal 8 3 2 2 7 3" xfId="11152" xr:uid="{96079A77-3F80-4D23-96A0-820E81721284}"/>
    <cellStyle name="Normal 8 3 2 2 8" xfId="4863" xr:uid="{00000000-0005-0000-0000-0000591D0000}"/>
    <cellStyle name="Normal 8 3 2 2 8 2" xfId="13305" xr:uid="{24A2DD8A-2F68-4F3A-8EB9-7A8C3F3955A4}"/>
    <cellStyle name="Normal 8 3 2 2 9" xfId="9087" xr:uid="{70E05051-2850-432A-AA85-315B71ECA442}"/>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B98C4AE4-CB9D-46D4-BF43-7B28BC88E41E}"/>
    <cellStyle name="Normal 8 3 2 3 2 2 3" xfId="11647" xr:uid="{C5F331BA-A069-4AEC-9E0A-A504410DFED0}"/>
    <cellStyle name="Normal 8 3 2 3 2 3" xfId="5278" xr:uid="{00000000-0005-0000-0000-00005E1D0000}"/>
    <cellStyle name="Normal 8 3 2 3 2 3 2" xfId="13720" xr:uid="{79AA4245-7D90-4845-B606-BADF824AAB85}"/>
    <cellStyle name="Normal 8 3 2 3 2 4" xfId="9502" xr:uid="{9A586FB3-588C-482A-95E1-35EC563EB214}"/>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38132E63-2034-4004-9276-D0E24154834A}"/>
    <cellStyle name="Normal 8 3 2 3 3 2 3" xfId="12060" xr:uid="{1B6D6311-8D8A-4659-9CEC-877D288432E0}"/>
    <cellStyle name="Normal 8 3 2 3 3 3" xfId="5691" xr:uid="{00000000-0005-0000-0000-0000621D0000}"/>
    <cellStyle name="Normal 8 3 2 3 3 3 2" xfId="14133" xr:uid="{EBD07265-BC82-4D85-8CF3-C925DAD9E339}"/>
    <cellStyle name="Normal 8 3 2 3 3 4" xfId="9915" xr:uid="{45649B87-B0B9-4C05-BCB3-9D7BF12FECAD}"/>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51760DA6-CE30-42BC-84A5-3EB411C4B512}"/>
    <cellStyle name="Normal 8 3 2 3 4 2 3" xfId="12473" xr:uid="{654AD496-E348-42A4-90B0-C8F2F2DC75BF}"/>
    <cellStyle name="Normal 8 3 2 3 4 3" xfId="6104" xr:uid="{00000000-0005-0000-0000-0000661D0000}"/>
    <cellStyle name="Normal 8 3 2 3 4 3 2" xfId="14546" xr:uid="{79A1D0E4-7098-42CD-8730-E01A2C036358}"/>
    <cellStyle name="Normal 8 3 2 3 4 4" xfId="10328" xr:uid="{2FB1FF18-8875-4845-9A46-5AF78D8DA6F8}"/>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81C27CC3-0DA9-4522-9EC9-639A64B41BE2}"/>
    <cellStyle name="Normal 8 3 2 3 5 2 3" xfId="12886" xr:uid="{3A159555-ED76-4EEB-B1C5-4BC81AD242D4}"/>
    <cellStyle name="Normal 8 3 2 3 5 3" xfId="6517" xr:uid="{00000000-0005-0000-0000-00006A1D0000}"/>
    <cellStyle name="Normal 8 3 2 3 5 3 2" xfId="14959" xr:uid="{B0D896F6-89BA-4F78-B62D-C96CDEA09DBF}"/>
    <cellStyle name="Normal 8 3 2 3 5 4" xfId="10741" xr:uid="{C32DFE58-B53D-416D-BEF9-15F45C42EE9A}"/>
    <cellStyle name="Normal 8 3 2 3 6" xfId="2646" xr:uid="{00000000-0005-0000-0000-00006B1D0000}"/>
    <cellStyle name="Normal 8 3 2 3 6 2" xfId="6930" xr:uid="{00000000-0005-0000-0000-00006C1D0000}"/>
    <cellStyle name="Normal 8 3 2 3 6 2 2" xfId="15372" xr:uid="{116DCF89-B191-4218-ADAB-F4C3A1EAFDBC}"/>
    <cellStyle name="Normal 8 3 2 3 6 3" xfId="11154" xr:uid="{86CBB319-A635-494F-8B3E-3EA6ADB261B0}"/>
    <cellStyle name="Normal 8 3 2 3 7" xfId="4865" xr:uid="{00000000-0005-0000-0000-00006D1D0000}"/>
    <cellStyle name="Normal 8 3 2 3 7 2" xfId="13307" xr:uid="{CAB3D7DF-9B84-4D03-9A34-F42B2C735E73}"/>
    <cellStyle name="Normal 8 3 2 3 8" xfId="9089" xr:uid="{BAFF3536-F8F8-485C-911B-122A611278DC}"/>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789F3A7-815B-4D88-89C3-7B1A0B982EFE}"/>
    <cellStyle name="Normal 8 3 2 4 2 3" xfId="11644" xr:uid="{28AFD6BE-859B-465C-924C-65A09D0491C2}"/>
    <cellStyle name="Normal 8 3 2 4 3" xfId="5275" xr:uid="{00000000-0005-0000-0000-0000711D0000}"/>
    <cellStyle name="Normal 8 3 2 4 3 2" xfId="13717" xr:uid="{743E0C49-8983-4EC2-BF28-0759CA38F0BB}"/>
    <cellStyle name="Normal 8 3 2 4 4" xfId="9499" xr:uid="{57657026-11DE-494C-8914-1A1B0A40C736}"/>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F3B69514-C4C2-4384-80F0-3648CE545313}"/>
    <cellStyle name="Normal 8 3 2 5 2 3" xfId="12057" xr:uid="{464858DC-B30E-426A-AF7F-F229391BF1E4}"/>
    <cellStyle name="Normal 8 3 2 5 3" xfId="5688" xr:uid="{00000000-0005-0000-0000-0000751D0000}"/>
    <cellStyle name="Normal 8 3 2 5 3 2" xfId="14130" xr:uid="{4058E49E-1525-4F7C-BB58-558C41EB2816}"/>
    <cellStyle name="Normal 8 3 2 5 4" xfId="9912" xr:uid="{E9F232CA-498A-45CE-99DE-D4281A0C3502}"/>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C2C3C969-68A6-474F-8B6F-03755C28B205}"/>
    <cellStyle name="Normal 8 3 2 6 2 3" xfId="12470" xr:uid="{DF7C95F4-DCD4-46F6-8A92-D0187A034B45}"/>
    <cellStyle name="Normal 8 3 2 6 3" xfId="6101" xr:uid="{00000000-0005-0000-0000-0000791D0000}"/>
    <cellStyle name="Normal 8 3 2 6 3 2" xfId="14543" xr:uid="{527CBA07-7A97-4970-AF14-9498692EEAB0}"/>
    <cellStyle name="Normal 8 3 2 6 4" xfId="10325" xr:uid="{8AEA2FCA-F0AC-4026-825C-CF1FDA1A041D}"/>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137C0F8D-F461-42FC-9E46-684381FB3935}"/>
    <cellStyle name="Normal 8 3 2 7 2 3" xfId="12883" xr:uid="{ED9A5185-D514-461D-96AE-4AE0BC5AC8D9}"/>
    <cellStyle name="Normal 8 3 2 7 3" xfId="6514" xr:uid="{00000000-0005-0000-0000-00007D1D0000}"/>
    <cellStyle name="Normal 8 3 2 7 3 2" xfId="14956" xr:uid="{99EBCD24-FDB1-4605-96C4-B426017BC73E}"/>
    <cellStyle name="Normal 8 3 2 7 4" xfId="10738" xr:uid="{794E879F-E133-4A8D-9005-96F33C97D508}"/>
    <cellStyle name="Normal 8 3 2 8" xfId="2643" xr:uid="{00000000-0005-0000-0000-00007E1D0000}"/>
    <cellStyle name="Normal 8 3 2 8 2" xfId="6927" xr:uid="{00000000-0005-0000-0000-00007F1D0000}"/>
    <cellStyle name="Normal 8 3 2 8 2 2" xfId="15369" xr:uid="{44DA0CC5-A682-4EFF-AE54-8F1C8DB262DC}"/>
    <cellStyle name="Normal 8 3 2 8 3" xfId="11151" xr:uid="{ED4F6DAD-86F5-44C8-B77D-4B1C0DA3B6E3}"/>
    <cellStyle name="Normal 8 3 2 9" xfId="4862" xr:uid="{00000000-0005-0000-0000-0000801D0000}"/>
    <cellStyle name="Normal 8 3 2 9 2" xfId="13304" xr:uid="{6E63EEC0-87CE-4F95-9D5E-4A3582F3643C}"/>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4656F49C-F422-407A-A7A2-983BC43F719B}"/>
    <cellStyle name="Normal 8 3 3 2 2 2 3" xfId="11649" xr:uid="{387222F9-EB76-4EA3-8326-A926478F0F7F}"/>
    <cellStyle name="Normal 8 3 3 2 2 3" xfId="5280" xr:uid="{00000000-0005-0000-0000-0000861D0000}"/>
    <cellStyle name="Normal 8 3 3 2 2 3 2" xfId="13722" xr:uid="{F6EB43DF-4159-4CD6-B864-E13068C848BE}"/>
    <cellStyle name="Normal 8 3 3 2 2 4" xfId="9504" xr:uid="{89568BFF-67F1-42F7-81F2-3F0D6DF55EAF}"/>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D02F54B7-2AA1-4008-8CE2-21732FF4162C}"/>
    <cellStyle name="Normal 8 3 3 2 3 2 3" xfId="12062" xr:uid="{D9D33696-8A43-456C-9487-197A4B137B38}"/>
    <cellStyle name="Normal 8 3 3 2 3 3" xfId="5693" xr:uid="{00000000-0005-0000-0000-00008A1D0000}"/>
    <cellStyle name="Normal 8 3 3 2 3 3 2" xfId="14135" xr:uid="{A7CD4AEE-18B6-49CA-807E-B14180093C11}"/>
    <cellStyle name="Normal 8 3 3 2 3 4" xfId="9917" xr:uid="{2C8E5C66-C9AE-4AE5-ABBD-FA7415E797E9}"/>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2FCDB7F8-D922-4BEE-844B-4576CE9D251F}"/>
    <cellStyle name="Normal 8 3 3 2 4 2 3" xfId="12475" xr:uid="{95B5CFE8-7854-4116-9970-742FA946FE13}"/>
    <cellStyle name="Normal 8 3 3 2 4 3" xfId="6106" xr:uid="{00000000-0005-0000-0000-00008E1D0000}"/>
    <cellStyle name="Normal 8 3 3 2 4 3 2" xfId="14548" xr:uid="{81690D75-869D-4F32-B260-9DB5B512B4F6}"/>
    <cellStyle name="Normal 8 3 3 2 4 4" xfId="10330" xr:uid="{F6BD174A-6E0B-458B-8DF8-F0532A481EC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8B2FAFD7-BE9B-423F-A012-722CA5BA399C}"/>
    <cellStyle name="Normal 8 3 3 2 5 2 3" xfId="12888" xr:uid="{70C409F6-72D7-4621-AAF8-D4C58FBBEFA8}"/>
    <cellStyle name="Normal 8 3 3 2 5 3" xfId="6519" xr:uid="{00000000-0005-0000-0000-0000921D0000}"/>
    <cellStyle name="Normal 8 3 3 2 5 3 2" xfId="14961" xr:uid="{77A36EB7-981A-437F-B423-77FD961B5BF2}"/>
    <cellStyle name="Normal 8 3 3 2 5 4" xfId="10743" xr:uid="{9D719BD8-9116-4B02-ACFB-01B916BAE530}"/>
    <cellStyle name="Normal 8 3 3 2 6" xfId="2648" xr:uid="{00000000-0005-0000-0000-0000931D0000}"/>
    <cellStyle name="Normal 8 3 3 2 6 2" xfId="6932" xr:uid="{00000000-0005-0000-0000-0000941D0000}"/>
    <cellStyle name="Normal 8 3 3 2 6 2 2" xfId="15374" xr:uid="{396453DE-8B51-49FF-A800-D686200AB39E}"/>
    <cellStyle name="Normal 8 3 3 2 6 3" xfId="11156" xr:uid="{CED973F1-1B3B-4ECA-A491-E843BC2187AA}"/>
    <cellStyle name="Normal 8 3 3 2 7" xfId="4867" xr:uid="{00000000-0005-0000-0000-0000951D0000}"/>
    <cellStyle name="Normal 8 3 3 2 7 2" xfId="13309" xr:uid="{A793D72E-A13D-4B9B-B201-333610BF85A2}"/>
    <cellStyle name="Normal 8 3 3 2 8" xfId="9091" xr:uid="{84F130F1-7BBD-47EF-8BCD-51FB07B07304}"/>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1486BD87-6025-4BD4-AC76-C0EE76BB2FE8}"/>
    <cellStyle name="Normal 8 3 3 3 2 3" xfId="11648" xr:uid="{7BF149F6-B75C-4A16-9570-0624BF2977B3}"/>
    <cellStyle name="Normal 8 3 3 3 3" xfId="5279" xr:uid="{00000000-0005-0000-0000-0000991D0000}"/>
    <cellStyle name="Normal 8 3 3 3 3 2" xfId="13721" xr:uid="{39BCC2AF-C2C0-45CE-9F5F-F85E8B45018F}"/>
    <cellStyle name="Normal 8 3 3 3 4" xfId="9503" xr:uid="{68F440E7-F02D-4F7F-8866-EFF5A226B8CE}"/>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95D22E96-2B71-4B9B-AE61-FF7EC80E8CB5}"/>
    <cellStyle name="Normal 8 3 3 4 2 3" xfId="12061" xr:uid="{34F7D67E-2919-4243-8A55-66BFBCBC3AB3}"/>
    <cellStyle name="Normal 8 3 3 4 3" xfId="5692" xr:uid="{00000000-0005-0000-0000-00009D1D0000}"/>
    <cellStyle name="Normal 8 3 3 4 3 2" xfId="14134" xr:uid="{0D504B04-C3D3-449A-9B78-667A780A3371}"/>
    <cellStyle name="Normal 8 3 3 4 4" xfId="9916" xr:uid="{8D533495-FE0F-47CE-9A25-B62614E9855D}"/>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A3CB6832-C771-4CF3-8D4F-F0D8334C21A9}"/>
    <cellStyle name="Normal 8 3 3 5 2 3" xfId="12474" xr:uid="{0054301D-5EDB-49E3-92B4-D4A0F0FCA1F2}"/>
    <cellStyle name="Normal 8 3 3 5 3" xfId="6105" xr:uid="{00000000-0005-0000-0000-0000A11D0000}"/>
    <cellStyle name="Normal 8 3 3 5 3 2" xfId="14547" xr:uid="{8EF59E0F-8AF9-4E19-9160-6C3992A68300}"/>
    <cellStyle name="Normal 8 3 3 5 4" xfId="10329" xr:uid="{007A2053-EA5A-4391-B178-45C3197FC12D}"/>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010989A9-196A-4E7A-9890-FC222BBDF76B}"/>
    <cellStyle name="Normal 8 3 3 6 2 3" xfId="12887" xr:uid="{56657748-9519-48F6-9554-15F0E530B4D8}"/>
    <cellStyle name="Normal 8 3 3 6 3" xfId="6518" xr:uid="{00000000-0005-0000-0000-0000A51D0000}"/>
    <cellStyle name="Normal 8 3 3 6 3 2" xfId="14960" xr:uid="{B0FF7F70-F6EB-470B-A3E0-F1541BEA13F0}"/>
    <cellStyle name="Normal 8 3 3 6 4" xfId="10742" xr:uid="{EC9FEF13-6F03-420E-8000-2BFE3C97BCCD}"/>
    <cellStyle name="Normal 8 3 3 7" xfId="2647" xr:uid="{00000000-0005-0000-0000-0000A61D0000}"/>
    <cellStyle name="Normal 8 3 3 7 2" xfId="6931" xr:uid="{00000000-0005-0000-0000-0000A71D0000}"/>
    <cellStyle name="Normal 8 3 3 7 2 2" xfId="15373" xr:uid="{7F822A23-0074-42CF-8935-B2B0EE62E48E}"/>
    <cellStyle name="Normal 8 3 3 7 3" xfId="11155" xr:uid="{3860EC61-0649-4968-A1CB-60738725F3BB}"/>
    <cellStyle name="Normal 8 3 3 8" xfId="4866" xr:uid="{00000000-0005-0000-0000-0000A81D0000}"/>
    <cellStyle name="Normal 8 3 3 8 2" xfId="13308" xr:uid="{9201212C-AFBF-400C-904D-8ACBEB787C8D}"/>
    <cellStyle name="Normal 8 3 3 9" xfId="9090" xr:uid="{B7C654E7-6965-4792-8FD7-5CD04E8A06F7}"/>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034F978E-5549-4F4A-AE12-67DEC435AB36}"/>
    <cellStyle name="Normal 8 3 4 2 2 3" xfId="11650" xr:uid="{66AA88DC-EA93-4AFF-A0A6-CE00E0D7555C}"/>
    <cellStyle name="Normal 8 3 4 2 3" xfId="5281" xr:uid="{00000000-0005-0000-0000-0000AD1D0000}"/>
    <cellStyle name="Normal 8 3 4 2 3 2" xfId="13723" xr:uid="{6EC16A0E-17E5-4A10-AA11-0DB09B29F5A2}"/>
    <cellStyle name="Normal 8 3 4 2 4" xfId="9505" xr:uid="{79494861-3844-42ED-8913-9EB0651E4F00}"/>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EB6D6408-65F0-4D7E-9FF8-BF8654F1F363}"/>
    <cellStyle name="Normal 8 3 4 3 2 3" xfId="12063" xr:uid="{76444BFA-F09F-4535-A04F-6A709AF13CF6}"/>
    <cellStyle name="Normal 8 3 4 3 3" xfId="5694" xr:uid="{00000000-0005-0000-0000-0000B11D0000}"/>
    <cellStyle name="Normal 8 3 4 3 3 2" xfId="14136" xr:uid="{B7984533-B098-4C35-BD3D-13B75B7EE63E}"/>
    <cellStyle name="Normal 8 3 4 3 4" xfId="9918" xr:uid="{CEE629EC-2F97-430D-926A-CA754DBC0DE8}"/>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C3ECF683-D46E-4766-B6C7-2301678F075B}"/>
    <cellStyle name="Normal 8 3 4 4 2 3" xfId="12476" xr:uid="{075CB861-685D-4D81-8012-39123D2C24B9}"/>
    <cellStyle name="Normal 8 3 4 4 3" xfId="6107" xr:uid="{00000000-0005-0000-0000-0000B51D0000}"/>
    <cellStyle name="Normal 8 3 4 4 3 2" xfId="14549" xr:uid="{8410AE2E-A93C-43EA-879F-C17D992AAC80}"/>
    <cellStyle name="Normal 8 3 4 4 4" xfId="10331" xr:uid="{ACFE2AE9-9DC3-484D-B0FC-88654A97F94C}"/>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5FBA6B51-2BA8-496C-B79F-8146359B46B4}"/>
    <cellStyle name="Normal 8 3 4 5 2 3" xfId="12889" xr:uid="{0AD25EDC-9CCF-4F9C-9EAD-3C3B24F89A23}"/>
    <cellStyle name="Normal 8 3 4 5 3" xfId="6520" xr:uid="{00000000-0005-0000-0000-0000B91D0000}"/>
    <cellStyle name="Normal 8 3 4 5 3 2" xfId="14962" xr:uid="{FA189BE3-4F69-40DC-B1EF-F5EC93D1E233}"/>
    <cellStyle name="Normal 8 3 4 5 4" xfId="10744" xr:uid="{2752F661-99AE-41E0-A862-F2F12452879D}"/>
    <cellStyle name="Normal 8 3 4 6" xfId="2649" xr:uid="{00000000-0005-0000-0000-0000BA1D0000}"/>
    <cellStyle name="Normal 8 3 4 6 2" xfId="6933" xr:uid="{00000000-0005-0000-0000-0000BB1D0000}"/>
    <cellStyle name="Normal 8 3 4 6 2 2" xfId="15375" xr:uid="{7F843D7F-6633-4A06-ADE3-CF625517AE5B}"/>
    <cellStyle name="Normal 8 3 4 6 3" xfId="11157" xr:uid="{DFC920D3-9877-4F01-B254-26D16146962E}"/>
    <cellStyle name="Normal 8 3 4 7" xfId="4868" xr:uid="{00000000-0005-0000-0000-0000BC1D0000}"/>
    <cellStyle name="Normal 8 3 4 7 2" xfId="13310" xr:uid="{2B45E916-3BF7-48D6-9D55-63BE148FB108}"/>
    <cellStyle name="Normal 8 3 4 8" xfId="9092" xr:uid="{FE9C4186-1248-4984-AE0F-4006EFF265B9}"/>
    <cellStyle name="Normal 8 3 5" xfId="962" xr:uid="{00000000-0005-0000-0000-0000BD1D0000}"/>
    <cellStyle name="Normal 8 3 5 2" xfId="3196" xr:uid="{00000000-0005-0000-0000-0000BE1D0000}"/>
    <cellStyle name="Normal 8 3 5 2 2" xfId="7419" xr:uid="{00000000-0005-0000-0000-0000BF1D0000}"/>
    <cellStyle name="Normal 8 3 5 2 2 2" xfId="15861" xr:uid="{2727D462-8265-46A5-BF59-C3A81B67EE4F}"/>
    <cellStyle name="Normal 8 3 5 2 3" xfId="11643" xr:uid="{05C471EC-BDE0-4D44-82E7-5B448673CCD4}"/>
    <cellStyle name="Normal 8 3 5 3" xfId="5274" xr:uid="{00000000-0005-0000-0000-0000C01D0000}"/>
    <cellStyle name="Normal 8 3 5 3 2" xfId="13716" xr:uid="{93C852AC-2CA2-42EE-8633-AABE41F28C9F}"/>
    <cellStyle name="Normal 8 3 5 4" xfId="9498" xr:uid="{69A8D4E2-6108-4702-B30C-2479167B6982}"/>
    <cellStyle name="Normal 8 3 6" xfId="1379" xr:uid="{00000000-0005-0000-0000-0000C11D0000}"/>
    <cellStyle name="Normal 8 3 6 2" xfId="3609" xr:uid="{00000000-0005-0000-0000-0000C21D0000}"/>
    <cellStyle name="Normal 8 3 6 2 2" xfId="7832" xr:uid="{00000000-0005-0000-0000-0000C31D0000}"/>
    <cellStyle name="Normal 8 3 6 2 2 2" xfId="16274" xr:uid="{26713833-6F1A-4417-A2C1-CD773BF70882}"/>
    <cellStyle name="Normal 8 3 6 2 3" xfId="12056" xr:uid="{558A2DC3-E4A4-434F-879B-7FC5BFC46BBE}"/>
    <cellStyle name="Normal 8 3 6 3" xfId="5687" xr:uid="{00000000-0005-0000-0000-0000C41D0000}"/>
    <cellStyle name="Normal 8 3 6 3 2" xfId="14129" xr:uid="{BA65B395-6F8F-445B-AB35-5D5BF51D83A6}"/>
    <cellStyle name="Normal 8 3 6 4" xfId="9911" xr:uid="{6CE1D504-29DC-4877-AA52-85DDCE34E7DD}"/>
    <cellStyle name="Normal 8 3 7" xfId="1792" xr:uid="{00000000-0005-0000-0000-0000C51D0000}"/>
    <cellStyle name="Normal 8 3 7 2" xfId="4022" xr:uid="{00000000-0005-0000-0000-0000C61D0000}"/>
    <cellStyle name="Normal 8 3 7 2 2" xfId="8245" xr:uid="{00000000-0005-0000-0000-0000C71D0000}"/>
    <cellStyle name="Normal 8 3 7 2 2 2" xfId="16687" xr:uid="{EF1DBAA7-4D2B-4516-BC23-F0F72F83D603}"/>
    <cellStyle name="Normal 8 3 7 2 3" xfId="12469" xr:uid="{D0858F05-3508-4E46-BB06-AD7853DE965C}"/>
    <cellStyle name="Normal 8 3 7 3" xfId="6100" xr:uid="{00000000-0005-0000-0000-0000C81D0000}"/>
    <cellStyle name="Normal 8 3 7 3 2" xfId="14542" xr:uid="{E27DD192-94F3-4886-A105-EA83F2922530}"/>
    <cellStyle name="Normal 8 3 7 4" xfId="10324" xr:uid="{D42D6266-CCDD-488D-AF4D-04C318B973C0}"/>
    <cellStyle name="Normal 8 3 8" xfId="2206" xr:uid="{00000000-0005-0000-0000-0000C91D0000}"/>
    <cellStyle name="Normal 8 3 8 2" xfId="4435" xr:uid="{00000000-0005-0000-0000-0000CA1D0000}"/>
    <cellStyle name="Normal 8 3 8 2 2" xfId="8658" xr:uid="{00000000-0005-0000-0000-0000CB1D0000}"/>
    <cellStyle name="Normal 8 3 8 2 2 2" xfId="17100" xr:uid="{03307068-1DA2-42D2-A502-DFAE815F4322}"/>
    <cellStyle name="Normal 8 3 8 2 3" xfId="12882" xr:uid="{B7C75131-94FD-47F3-9874-E6BF07F6C3CE}"/>
    <cellStyle name="Normal 8 3 8 3" xfId="6513" xr:uid="{00000000-0005-0000-0000-0000CC1D0000}"/>
    <cellStyle name="Normal 8 3 8 3 2" xfId="14955" xr:uid="{E629DD7E-898D-4522-8B4A-62932546AD78}"/>
    <cellStyle name="Normal 8 3 8 4" xfId="10737" xr:uid="{DEF7F8CF-D36B-4545-BF32-FD996168479C}"/>
    <cellStyle name="Normal 8 3 9" xfId="2642" xr:uid="{00000000-0005-0000-0000-0000CD1D0000}"/>
    <cellStyle name="Normal 8 3 9 2" xfId="6926" xr:uid="{00000000-0005-0000-0000-0000CE1D0000}"/>
    <cellStyle name="Normal 8 3 9 2 2" xfId="15368" xr:uid="{1DBEDDCA-EF6E-4B70-B849-F90B585B5BF3}"/>
    <cellStyle name="Normal 8 3 9 3" xfId="11150" xr:uid="{37350E05-E4B2-4D22-95D1-2A8B822792F2}"/>
    <cellStyle name="Normal 8 4" xfId="503" xr:uid="{00000000-0005-0000-0000-0000CF1D0000}"/>
    <cellStyle name="Normal 8 4 10" xfId="9093" xr:uid="{07ACF8CD-E082-4C9E-AE66-BDE6CF87E88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CB44BFC1-0526-45CC-BCD4-F4026C6C5FE2}"/>
    <cellStyle name="Normal 8 4 2 2 2 2 3" xfId="11653" xr:uid="{9CAEEA11-DA7E-495E-958F-5590F448A02A}"/>
    <cellStyle name="Normal 8 4 2 2 2 3" xfId="5284" xr:uid="{00000000-0005-0000-0000-0000D51D0000}"/>
    <cellStyle name="Normal 8 4 2 2 2 3 2" xfId="13726" xr:uid="{56C911AA-5164-4B76-A1B8-125491B4E453}"/>
    <cellStyle name="Normal 8 4 2 2 2 4" xfId="9508" xr:uid="{BFDC6448-4697-42D3-8983-4953BED495F6}"/>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D2A4D166-ACEF-4600-BC7A-C7748089A949}"/>
    <cellStyle name="Normal 8 4 2 2 3 2 3" xfId="12066" xr:uid="{726A6F55-E4FE-4588-AEB4-F44EC309E33A}"/>
    <cellStyle name="Normal 8 4 2 2 3 3" xfId="5697" xr:uid="{00000000-0005-0000-0000-0000D91D0000}"/>
    <cellStyle name="Normal 8 4 2 2 3 3 2" xfId="14139" xr:uid="{3B4955E3-ABF0-4C01-9CCF-300BE100858B}"/>
    <cellStyle name="Normal 8 4 2 2 3 4" xfId="9921" xr:uid="{DAF9F9E8-6DB5-435D-89F3-A5D18F836E97}"/>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A8BC619F-4D21-45E9-BD3D-2E3BFE8706AD}"/>
    <cellStyle name="Normal 8 4 2 2 4 2 3" xfId="12479" xr:uid="{DC0BBEFD-894A-43F6-BBFD-039E927FBD3A}"/>
    <cellStyle name="Normal 8 4 2 2 4 3" xfId="6110" xr:uid="{00000000-0005-0000-0000-0000DD1D0000}"/>
    <cellStyle name="Normal 8 4 2 2 4 3 2" xfId="14552" xr:uid="{E7E8EFA1-61F3-4141-91B6-F0DF2A7D82B2}"/>
    <cellStyle name="Normal 8 4 2 2 4 4" xfId="10334" xr:uid="{5EC91379-62BC-49E7-A39B-39E66CC72C2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C02D3639-DD95-4816-B14C-DE0AFBB8B325}"/>
    <cellStyle name="Normal 8 4 2 2 5 2 3" xfId="12892" xr:uid="{0C3EBF72-79C1-4210-8E9E-AAA2A1A89AF8}"/>
    <cellStyle name="Normal 8 4 2 2 5 3" xfId="6523" xr:uid="{00000000-0005-0000-0000-0000E11D0000}"/>
    <cellStyle name="Normal 8 4 2 2 5 3 2" xfId="14965" xr:uid="{6F240079-DEA2-41DA-B903-65E7CD3C76BE}"/>
    <cellStyle name="Normal 8 4 2 2 5 4" xfId="10747" xr:uid="{6D10D61C-07CD-44E8-9F85-A5CDC1C01EDC}"/>
    <cellStyle name="Normal 8 4 2 2 6" xfId="2652" xr:uid="{00000000-0005-0000-0000-0000E21D0000}"/>
    <cellStyle name="Normal 8 4 2 2 6 2" xfId="6936" xr:uid="{00000000-0005-0000-0000-0000E31D0000}"/>
    <cellStyle name="Normal 8 4 2 2 6 2 2" xfId="15378" xr:uid="{8D17E85B-7218-41C8-913F-B4CE7E49BBC9}"/>
    <cellStyle name="Normal 8 4 2 2 6 3" xfId="11160" xr:uid="{C795FF39-95CA-4F90-8958-FEAF8B9A88AF}"/>
    <cellStyle name="Normal 8 4 2 2 7" xfId="4871" xr:uid="{00000000-0005-0000-0000-0000E41D0000}"/>
    <cellStyle name="Normal 8 4 2 2 7 2" xfId="13313" xr:uid="{B3FD316D-EB2B-41D9-9EFD-F3E668A10910}"/>
    <cellStyle name="Normal 8 4 2 2 8" xfId="9095" xr:uid="{63034E02-386F-462B-90BE-B99AEC42837A}"/>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699133A-93B2-453F-8E05-06F5C33547BF}"/>
    <cellStyle name="Normal 8 4 2 3 2 3" xfId="11652" xr:uid="{CDF0DB85-9503-4DDD-B578-7146F391EAD0}"/>
    <cellStyle name="Normal 8 4 2 3 3" xfId="5283" xr:uid="{00000000-0005-0000-0000-0000E81D0000}"/>
    <cellStyle name="Normal 8 4 2 3 3 2" xfId="13725" xr:uid="{4D1C7222-7FC1-4498-A3B4-D2723E43891F}"/>
    <cellStyle name="Normal 8 4 2 3 4" xfId="9507" xr:uid="{B396B1C7-8854-43BE-9B10-364308382978}"/>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C7FC9A89-C8EF-4C65-A1CF-12C9FDA3FB16}"/>
    <cellStyle name="Normal 8 4 2 4 2 3" xfId="12065" xr:uid="{F872025A-C82B-4D59-A734-1E84472455DF}"/>
    <cellStyle name="Normal 8 4 2 4 3" xfId="5696" xr:uid="{00000000-0005-0000-0000-0000EC1D0000}"/>
    <cellStyle name="Normal 8 4 2 4 3 2" xfId="14138" xr:uid="{651754FA-DDDD-4DB7-87D0-76E4DCA3B41F}"/>
    <cellStyle name="Normal 8 4 2 4 4" xfId="9920" xr:uid="{104BF11B-1F04-4334-9773-4C4E362D66BB}"/>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7CCB7F0F-ECB2-4503-89F0-59089392BD72}"/>
    <cellStyle name="Normal 8 4 2 5 2 3" xfId="12478" xr:uid="{1CD4D07B-1570-4805-A11F-6E3AA739D740}"/>
    <cellStyle name="Normal 8 4 2 5 3" xfId="6109" xr:uid="{00000000-0005-0000-0000-0000F01D0000}"/>
    <cellStyle name="Normal 8 4 2 5 3 2" xfId="14551" xr:uid="{A149EB76-0BF5-4A7C-A873-9C3860815405}"/>
    <cellStyle name="Normal 8 4 2 5 4" xfId="10333" xr:uid="{DCDC092A-D56C-4A0F-933A-1C0691BBCADC}"/>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7EF50076-BBA9-4B9D-9C95-197838226F1B}"/>
    <cellStyle name="Normal 8 4 2 6 2 3" xfId="12891" xr:uid="{87E20E7F-0BD6-4488-BDB8-05980D465824}"/>
    <cellStyle name="Normal 8 4 2 6 3" xfId="6522" xr:uid="{00000000-0005-0000-0000-0000F41D0000}"/>
    <cellStyle name="Normal 8 4 2 6 3 2" xfId="14964" xr:uid="{B1BF0887-C3D8-45CE-AC76-0C618E87A69F}"/>
    <cellStyle name="Normal 8 4 2 6 4" xfId="10746" xr:uid="{C3C6EF5D-6BC2-49AE-8CCC-84BF916E1F75}"/>
    <cellStyle name="Normal 8 4 2 7" xfId="2651" xr:uid="{00000000-0005-0000-0000-0000F51D0000}"/>
    <cellStyle name="Normal 8 4 2 7 2" xfId="6935" xr:uid="{00000000-0005-0000-0000-0000F61D0000}"/>
    <cellStyle name="Normal 8 4 2 7 2 2" xfId="15377" xr:uid="{0849D490-8E00-4719-846C-992A364FFBB5}"/>
    <cellStyle name="Normal 8 4 2 7 3" xfId="11159" xr:uid="{42E39240-33A5-46B1-A743-A01381722EA1}"/>
    <cellStyle name="Normal 8 4 2 8" xfId="4870" xr:uid="{00000000-0005-0000-0000-0000F71D0000}"/>
    <cellStyle name="Normal 8 4 2 8 2" xfId="13312" xr:uid="{EDE96BD0-7B6F-42C5-805C-3BE3E52754CA}"/>
    <cellStyle name="Normal 8 4 2 9" xfId="9094" xr:uid="{DFE59794-D9E0-4A33-83DB-D0C225CC6BFC}"/>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4F58EC19-5AF1-45CF-8383-E2D887278997}"/>
    <cellStyle name="Normal 8 4 3 2 2 3" xfId="11654" xr:uid="{77990228-DA49-4347-941F-7BEED5248E51}"/>
    <cellStyle name="Normal 8 4 3 2 3" xfId="5285" xr:uid="{00000000-0005-0000-0000-0000FC1D0000}"/>
    <cellStyle name="Normal 8 4 3 2 3 2" xfId="13727" xr:uid="{B4C1272B-A76E-430C-8920-0AA8819BA25A}"/>
    <cellStyle name="Normal 8 4 3 2 4" xfId="9509" xr:uid="{2B1431F7-4A89-467A-B178-F05201F368CA}"/>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74D13EAC-8212-4537-9BBA-841DF7DF1E29}"/>
    <cellStyle name="Normal 8 4 3 3 2 3" xfId="12067" xr:uid="{045D235B-BC7F-4279-B3B7-6E9F50E40D44}"/>
    <cellStyle name="Normal 8 4 3 3 3" xfId="5698" xr:uid="{00000000-0005-0000-0000-0000001E0000}"/>
    <cellStyle name="Normal 8 4 3 3 3 2" xfId="14140" xr:uid="{C6D2694B-A8A7-4716-BE94-8BF09B00D685}"/>
    <cellStyle name="Normal 8 4 3 3 4" xfId="9922" xr:uid="{7C75AB1E-2084-49FD-AAA4-EF0F8481E2B9}"/>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94B8DF41-D0C5-4FD5-9FA5-1C162F44FB40}"/>
    <cellStyle name="Normal 8 4 3 4 2 3" xfId="12480" xr:uid="{E3DAFF30-5B4B-49A5-A6DF-F1E7C6286934}"/>
    <cellStyle name="Normal 8 4 3 4 3" xfId="6111" xr:uid="{00000000-0005-0000-0000-0000041E0000}"/>
    <cellStyle name="Normal 8 4 3 4 3 2" xfId="14553" xr:uid="{A12D9927-9544-402A-84AB-B05644E42159}"/>
    <cellStyle name="Normal 8 4 3 4 4" xfId="10335" xr:uid="{9A18F824-0C44-4B58-A1A7-7C2E57C3F862}"/>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31019E94-AF2A-41F9-9AE3-53C7659ED955}"/>
    <cellStyle name="Normal 8 4 3 5 2 3" xfId="12893" xr:uid="{D41C77DB-63D2-4CD6-81EC-4F53FB2D236F}"/>
    <cellStyle name="Normal 8 4 3 5 3" xfId="6524" xr:uid="{00000000-0005-0000-0000-0000081E0000}"/>
    <cellStyle name="Normal 8 4 3 5 3 2" xfId="14966" xr:uid="{CF43002C-9A62-47E0-9857-A9BD0ED1E6FE}"/>
    <cellStyle name="Normal 8 4 3 5 4" xfId="10748" xr:uid="{468EDF3A-8DEE-4A28-BCE5-C032CD65EDB7}"/>
    <cellStyle name="Normal 8 4 3 6" xfId="2653" xr:uid="{00000000-0005-0000-0000-0000091E0000}"/>
    <cellStyle name="Normal 8 4 3 6 2" xfId="6937" xr:uid="{00000000-0005-0000-0000-00000A1E0000}"/>
    <cellStyle name="Normal 8 4 3 6 2 2" xfId="15379" xr:uid="{D2F489AB-A6D0-4B19-B7F5-CCBEE0A5F80A}"/>
    <cellStyle name="Normal 8 4 3 6 3" xfId="11161" xr:uid="{00BDF8A9-0842-4C9F-AAE5-331547E45FD0}"/>
    <cellStyle name="Normal 8 4 3 7" xfId="4872" xr:uid="{00000000-0005-0000-0000-00000B1E0000}"/>
    <cellStyle name="Normal 8 4 3 7 2" xfId="13314" xr:uid="{BEE8A182-816D-4662-B6AF-CA2E0E3E71D3}"/>
    <cellStyle name="Normal 8 4 3 8" xfId="9096" xr:uid="{12ECD051-7397-4218-B779-03D06D0946AE}"/>
    <cellStyle name="Normal 8 4 4" xfId="970" xr:uid="{00000000-0005-0000-0000-00000C1E0000}"/>
    <cellStyle name="Normal 8 4 4 2" xfId="3204" xr:uid="{00000000-0005-0000-0000-00000D1E0000}"/>
    <cellStyle name="Normal 8 4 4 2 2" xfId="7427" xr:uid="{00000000-0005-0000-0000-00000E1E0000}"/>
    <cellStyle name="Normal 8 4 4 2 2 2" xfId="15869" xr:uid="{2254AF20-B917-4424-99EA-7C2C586ED8EF}"/>
    <cellStyle name="Normal 8 4 4 2 3" xfId="11651" xr:uid="{0F6851ED-14E8-49D9-B913-018E61156C35}"/>
    <cellStyle name="Normal 8 4 4 3" xfId="5282" xr:uid="{00000000-0005-0000-0000-00000F1E0000}"/>
    <cellStyle name="Normal 8 4 4 3 2" xfId="13724" xr:uid="{42DEA8F3-7209-40A1-8981-DC53D1AD5A69}"/>
    <cellStyle name="Normal 8 4 4 4" xfId="9506" xr:uid="{7FB6AFD0-7517-45BD-88BB-0FBFA873F999}"/>
    <cellStyle name="Normal 8 4 5" xfId="1387" xr:uid="{00000000-0005-0000-0000-0000101E0000}"/>
    <cellStyle name="Normal 8 4 5 2" xfId="3617" xr:uid="{00000000-0005-0000-0000-0000111E0000}"/>
    <cellStyle name="Normal 8 4 5 2 2" xfId="7840" xr:uid="{00000000-0005-0000-0000-0000121E0000}"/>
    <cellStyle name="Normal 8 4 5 2 2 2" xfId="16282" xr:uid="{30A823F0-3FB3-450E-8C76-75BFDB9E65B3}"/>
    <cellStyle name="Normal 8 4 5 2 3" xfId="12064" xr:uid="{E2A236DD-D0FA-4FA1-89E7-4D5523A8D964}"/>
    <cellStyle name="Normal 8 4 5 3" xfId="5695" xr:uid="{00000000-0005-0000-0000-0000131E0000}"/>
    <cellStyle name="Normal 8 4 5 3 2" xfId="14137" xr:uid="{F594DD98-159B-4DC5-A3A6-247E0CFA290C}"/>
    <cellStyle name="Normal 8 4 5 4" xfId="9919" xr:uid="{508162F1-DC73-4F6F-9D2E-4C408AEB46D6}"/>
    <cellStyle name="Normal 8 4 6" xfId="1800" xr:uid="{00000000-0005-0000-0000-0000141E0000}"/>
    <cellStyle name="Normal 8 4 6 2" xfId="4030" xr:uid="{00000000-0005-0000-0000-0000151E0000}"/>
    <cellStyle name="Normal 8 4 6 2 2" xfId="8253" xr:uid="{00000000-0005-0000-0000-0000161E0000}"/>
    <cellStyle name="Normal 8 4 6 2 2 2" xfId="16695" xr:uid="{D5A33DEC-32CE-4557-AB7F-469EF5B3CEAD}"/>
    <cellStyle name="Normal 8 4 6 2 3" xfId="12477" xr:uid="{54B8BA0B-BA13-43B2-9A6A-93906BF6D4CD}"/>
    <cellStyle name="Normal 8 4 6 3" xfId="6108" xr:uid="{00000000-0005-0000-0000-0000171E0000}"/>
    <cellStyle name="Normal 8 4 6 3 2" xfId="14550" xr:uid="{2E446006-752F-4EC2-A7E1-32B49FAF06AF}"/>
    <cellStyle name="Normal 8 4 6 4" xfId="10332" xr:uid="{B116D5A5-C696-48F1-B5E4-F8E6591229C3}"/>
    <cellStyle name="Normal 8 4 7" xfId="2214" xr:uid="{00000000-0005-0000-0000-0000181E0000}"/>
    <cellStyle name="Normal 8 4 7 2" xfId="4443" xr:uid="{00000000-0005-0000-0000-0000191E0000}"/>
    <cellStyle name="Normal 8 4 7 2 2" xfId="8666" xr:uid="{00000000-0005-0000-0000-00001A1E0000}"/>
    <cellStyle name="Normal 8 4 7 2 2 2" xfId="17108" xr:uid="{1E054AF6-D087-4A7F-A433-31F6E5172315}"/>
    <cellStyle name="Normal 8 4 7 2 3" xfId="12890" xr:uid="{F1673161-7C4A-42B1-9543-BD2933D8FF17}"/>
    <cellStyle name="Normal 8 4 7 3" xfId="6521" xr:uid="{00000000-0005-0000-0000-00001B1E0000}"/>
    <cellStyle name="Normal 8 4 7 3 2" xfId="14963" xr:uid="{40629414-E265-4568-AAF3-D809C51CE3F3}"/>
    <cellStyle name="Normal 8 4 7 4" xfId="10745" xr:uid="{1CD1C781-69B4-4353-AFA7-A3B782925648}"/>
    <cellStyle name="Normal 8 4 8" xfId="2650" xr:uid="{00000000-0005-0000-0000-00001C1E0000}"/>
    <cellStyle name="Normal 8 4 8 2" xfId="6934" xr:uid="{00000000-0005-0000-0000-00001D1E0000}"/>
    <cellStyle name="Normal 8 4 8 2 2" xfId="15376" xr:uid="{2527A410-3FD3-43BF-A0E4-22C5B3AF908A}"/>
    <cellStyle name="Normal 8 4 8 3" xfId="11158" xr:uid="{FD1657A7-193B-4222-AD3A-05ED715D9D28}"/>
    <cellStyle name="Normal 8 4 9" xfId="4869" xr:uid="{00000000-0005-0000-0000-00001E1E0000}"/>
    <cellStyle name="Normal 8 4 9 2" xfId="13311" xr:uid="{5A03EAFF-5776-4756-B417-7C7E84EE953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F4DC1B52-A3BE-4C2A-95FB-D0128C53448E}"/>
    <cellStyle name="Normal 8 5 2 2 2 3" xfId="11656" xr:uid="{BFC21789-1BFF-429F-97AE-505E8C72B788}"/>
    <cellStyle name="Normal 8 5 2 2 3" xfId="5287" xr:uid="{00000000-0005-0000-0000-0000241E0000}"/>
    <cellStyle name="Normal 8 5 2 2 3 2" xfId="13729" xr:uid="{6111EAA5-CE1A-4A4B-B498-5DD3E6BAE3CD}"/>
    <cellStyle name="Normal 8 5 2 2 4" xfId="9511" xr:uid="{2F27BDEF-5C54-45F7-8C60-2A1A6DFEC68A}"/>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B739EF5B-3F53-4EC5-83B6-790E8B8A83DE}"/>
    <cellStyle name="Normal 8 5 2 3 2 3" xfId="12069" xr:uid="{5FE4187D-10C8-48D4-B875-185AB6620261}"/>
    <cellStyle name="Normal 8 5 2 3 3" xfId="5700" xr:uid="{00000000-0005-0000-0000-0000281E0000}"/>
    <cellStyle name="Normal 8 5 2 3 3 2" xfId="14142" xr:uid="{E10818A5-A565-49F0-B347-B108706DCCAC}"/>
    <cellStyle name="Normal 8 5 2 3 4" xfId="9924" xr:uid="{A9195EDC-2A8F-4451-8090-0890DD07D2D8}"/>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AC2DC3E0-2463-4CD9-917B-3CDFC4C56B51}"/>
    <cellStyle name="Normal 8 5 2 4 2 3" xfId="12482" xr:uid="{B0459B81-57CF-4FDE-BAE8-9E6FD2AD4819}"/>
    <cellStyle name="Normal 8 5 2 4 3" xfId="6113" xr:uid="{00000000-0005-0000-0000-00002C1E0000}"/>
    <cellStyle name="Normal 8 5 2 4 3 2" xfId="14555" xr:uid="{7C2B3456-704B-4F66-B3A1-2539B10872A3}"/>
    <cellStyle name="Normal 8 5 2 4 4" xfId="10337" xr:uid="{AF77173A-5037-4CDF-B19A-6B6DA9250E42}"/>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C3815726-5BEE-4C20-AE6A-7C99AA57B031}"/>
    <cellStyle name="Normal 8 5 2 5 2 3" xfId="12895" xr:uid="{CBE2B98A-DD3F-4E63-82C0-949B646B8512}"/>
    <cellStyle name="Normal 8 5 2 5 3" xfId="6526" xr:uid="{00000000-0005-0000-0000-0000301E0000}"/>
    <cellStyle name="Normal 8 5 2 5 3 2" xfId="14968" xr:uid="{11B79698-588E-49FD-A81F-18473694096C}"/>
    <cellStyle name="Normal 8 5 2 5 4" xfId="10750" xr:uid="{15FA4008-AC99-4C69-BEB1-0EB74FB90A8F}"/>
    <cellStyle name="Normal 8 5 2 6" xfId="2655" xr:uid="{00000000-0005-0000-0000-0000311E0000}"/>
    <cellStyle name="Normal 8 5 2 6 2" xfId="6939" xr:uid="{00000000-0005-0000-0000-0000321E0000}"/>
    <cellStyle name="Normal 8 5 2 6 2 2" xfId="15381" xr:uid="{A3B5C426-8A42-4FEF-9E85-DA08542657B4}"/>
    <cellStyle name="Normal 8 5 2 6 3" xfId="11163" xr:uid="{3A61D9D9-5975-4DDC-8972-C21CF38F3A18}"/>
    <cellStyle name="Normal 8 5 2 7" xfId="4874" xr:uid="{00000000-0005-0000-0000-0000331E0000}"/>
    <cellStyle name="Normal 8 5 2 7 2" xfId="13316" xr:uid="{71986F51-4F42-4744-835C-9C4DF5D64D6F}"/>
    <cellStyle name="Normal 8 5 2 8" xfId="9098" xr:uid="{80B1209D-E921-4077-85A1-2E4BFCFB536F}"/>
    <cellStyle name="Normal 8 5 3" xfId="974" xr:uid="{00000000-0005-0000-0000-0000341E0000}"/>
    <cellStyle name="Normal 8 5 3 2" xfId="3208" xr:uid="{00000000-0005-0000-0000-0000351E0000}"/>
    <cellStyle name="Normal 8 5 3 2 2" xfId="7431" xr:uid="{00000000-0005-0000-0000-0000361E0000}"/>
    <cellStyle name="Normal 8 5 3 2 2 2" xfId="15873" xr:uid="{5AB057C2-A9E2-4033-AE7F-05BD977C20C6}"/>
    <cellStyle name="Normal 8 5 3 2 3" xfId="11655" xr:uid="{AF8CB655-E63A-4B32-B603-1E9CBEB0D776}"/>
    <cellStyle name="Normal 8 5 3 3" xfId="5286" xr:uid="{00000000-0005-0000-0000-0000371E0000}"/>
    <cellStyle name="Normal 8 5 3 3 2" xfId="13728" xr:uid="{C217F27F-86C9-4A13-8FE5-86CC5D22DC3C}"/>
    <cellStyle name="Normal 8 5 3 4" xfId="9510" xr:uid="{DD28C2AC-488A-4CB2-B0B3-D8EFD3EC5F33}"/>
    <cellStyle name="Normal 8 5 4" xfId="1391" xr:uid="{00000000-0005-0000-0000-0000381E0000}"/>
    <cellStyle name="Normal 8 5 4 2" xfId="3621" xr:uid="{00000000-0005-0000-0000-0000391E0000}"/>
    <cellStyle name="Normal 8 5 4 2 2" xfId="7844" xr:uid="{00000000-0005-0000-0000-00003A1E0000}"/>
    <cellStyle name="Normal 8 5 4 2 2 2" xfId="16286" xr:uid="{9C7CB3A6-CF91-49D6-BD73-9AD9E44270E6}"/>
    <cellStyle name="Normal 8 5 4 2 3" xfId="12068" xr:uid="{296F4745-F3F6-4FCD-AF2D-E5EABF54F0EE}"/>
    <cellStyle name="Normal 8 5 4 3" xfId="5699" xr:uid="{00000000-0005-0000-0000-00003B1E0000}"/>
    <cellStyle name="Normal 8 5 4 3 2" xfId="14141" xr:uid="{7E5684D9-D8E8-4C8A-AD8A-50C5C6E8AB49}"/>
    <cellStyle name="Normal 8 5 4 4" xfId="9923" xr:uid="{BB637EED-E059-44A1-AE54-8FE6F98396E4}"/>
    <cellStyle name="Normal 8 5 5" xfId="1804" xr:uid="{00000000-0005-0000-0000-00003C1E0000}"/>
    <cellStyle name="Normal 8 5 5 2" xfId="4034" xr:uid="{00000000-0005-0000-0000-00003D1E0000}"/>
    <cellStyle name="Normal 8 5 5 2 2" xfId="8257" xr:uid="{00000000-0005-0000-0000-00003E1E0000}"/>
    <cellStyle name="Normal 8 5 5 2 2 2" xfId="16699" xr:uid="{C90FB82B-844C-4EE1-B379-C568558ABA7E}"/>
    <cellStyle name="Normal 8 5 5 2 3" xfId="12481" xr:uid="{F000E892-D89F-49C5-8AF5-3BD90BB4BC86}"/>
    <cellStyle name="Normal 8 5 5 3" xfId="6112" xr:uid="{00000000-0005-0000-0000-00003F1E0000}"/>
    <cellStyle name="Normal 8 5 5 3 2" xfId="14554" xr:uid="{CBF58604-1162-40CE-9442-84FF90879255}"/>
    <cellStyle name="Normal 8 5 5 4" xfId="10336" xr:uid="{C65B6045-919F-47FF-B0E7-1AF67D742390}"/>
    <cellStyle name="Normal 8 5 6" xfId="2218" xr:uid="{00000000-0005-0000-0000-0000401E0000}"/>
    <cellStyle name="Normal 8 5 6 2" xfId="4447" xr:uid="{00000000-0005-0000-0000-0000411E0000}"/>
    <cellStyle name="Normal 8 5 6 2 2" xfId="8670" xr:uid="{00000000-0005-0000-0000-0000421E0000}"/>
    <cellStyle name="Normal 8 5 6 2 2 2" xfId="17112" xr:uid="{00C03ED2-DEE0-49B2-B695-4F955B438C06}"/>
    <cellStyle name="Normal 8 5 6 2 3" xfId="12894" xr:uid="{E3AB2E9D-D2C9-499B-86DC-71FC8DD03FA2}"/>
    <cellStyle name="Normal 8 5 6 3" xfId="6525" xr:uid="{00000000-0005-0000-0000-0000431E0000}"/>
    <cellStyle name="Normal 8 5 6 3 2" xfId="14967" xr:uid="{8CF43F9B-13E4-49C5-824B-7AC4529A0E81}"/>
    <cellStyle name="Normal 8 5 6 4" xfId="10749" xr:uid="{C8630263-2964-4135-B5C7-7EC76515BC42}"/>
    <cellStyle name="Normal 8 5 7" xfId="2654" xr:uid="{00000000-0005-0000-0000-0000441E0000}"/>
    <cellStyle name="Normal 8 5 7 2" xfId="6938" xr:uid="{00000000-0005-0000-0000-0000451E0000}"/>
    <cellStyle name="Normal 8 5 7 2 2" xfId="15380" xr:uid="{F9832718-1964-4EED-85F9-86B7CDED2ABD}"/>
    <cellStyle name="Normal 8 5 7 3" xfId="11162" xr:uid="{92D16F77-E3DA-4377-90A4-5373BAADB7AD}"/>
    <cellStyle name="Normal 8 5 8" xfId="4873" xr:uid="{00000000-0005-0000-0000-0000461E0000}"/>
    <cellStyle name="Normal 8 5 8 2" xfId="13315" xr:uid="{AC0ED063-694D-459C-B184-D9EFBCADAD29}"/>
    <cellStyle name="Normal 8 5 9" xfId="9097" xr:uid="{49058F30-7DF8-40D5-883C-7E487170B211}"/>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12AD3E29-D326-4FE3-B0AA-2F3C78261817}"/>
    <cellStyle name="Normal 8 6 2 2 3" xfId="11657" xr:uid="{C654973B-97CD-4F01-BA91-429525EAF1A3}"/>
    <cellStyle name="Normal 8 6 2 3" xfId="5288" xr:uid="{00000000-0005-0000-0000-00004B1E0000}"/>
    <cellStyle name="Normal 8 6 2 3 2" xfId="13730" xr:uid="{60FDD55A-3EA6-4BAB-AE94-C46AA7BBFC80}"/>
    <cellStyle name="Normal 8 6 2 4" xfId="9512" xr:uid="{26486BD9-46A9-4B10-821F-B72A2A035EB0}"/>
    <cellStyle name="Normal 8 6 3" xfId="1393" xr:uid="{00000000-0005-0000-0000-00004C1E0000}"/>
    <cellStyle name="Normal 8 6 3 2" xfId="3623" xr:uid="{00000000-0005-0000-0000-00004D1E0000}"/>
    <cellStyle name="Normal 8 6 3 2 2" xfId="7846" xr:uid="{00000000-0005-0000-0000-00004E1E0000}"/>
    <cellStyle name="Normal 8 6 3 2 2 2" xfId="16288" xr:uid="{53E75AFB-245A-4042-8003-59600E503DFA}"/>
    <cellStyle name="Normal 8 6 3 2 3" xfId="12070" xr:uid="{B9365F21-1067-4B86-A072-453B03A2C7D9}"/>
    <cellStyle name="Normal 8 6 3 3" xfId="5701" xr:uid="{00000000-0005-0000-0000-00004F1E0000}"/>
    <cellStyle name="Normal 8 6 3 3 2" xfId="14143" xr:uid="{E751027F-3223-4E28-B1AE-2D44C16BFB82}"/>
    <cellStyle name="Normal 8 6 3 4" xfId="9925" xr:uid="{4FD336F8-D05C-4A6C-94BD-6A13334C1BB2}"/>
    <cellStyle name="Normal 8 6 4" xfId="1806" xr:uid="{00000000-0005-0000-0000-0000501E0000}"/>
    <cellStyle name="Normal 8 6 4 2" xfId="4036" xr:uid="{00000000-0005-0000-0000-0000511E0000}"/>
    <cellStyle name="Normal 8 6 4 2 2" xfId="8259" xr:uid="{00000000-0005-0000-0000-0000521E0000}"/>
    <cellStyle name="Normal 8 6 4 2 2 2" xfId="16701" xr:uid="{53844885-4662-48A3-A228-8598116A1A37}"/>
    <cellStyle name="Normal 8 6 4 2 3" xfId="12483" xr:uid="{12F6B908-A1CC-4EA5-8E60-C98F7FA8FDB7}"/>
    <cellStyle name="Normal 8 6 4 3" xfId="6114" xr:uid="{00000000-0005-0000-0000-0000531E0000}"/>
    <cellStyle name="Normal 8 6 4 3 2" xfId="14556" xr:uid="{E8AA87E8-2C41-4907-9FEE-24AAD225122E}"/>
    <cellStyle name="Normal 8 6 4 4" xfId="10338" xr:uid="{323CDD89-06D3-47EC-B61F-F2D7A618512C}"/>
    <cellStyle name="Normal 8 6 5" xfId="2220" xr:uid="{00000000-0005-0000-0000-0000541E0000}"/>
    <cellStyle name="Normal 8 6 5 2" xfId="4449" xr:uid="{00000000-0005-0000-0000-0000551E0000}"/>
    <cellStyle name="Normal 8 6 5 2 2" xfId="8672" xr:uid="{00000000-0005-0000-0000-0000561E0000}"/>
    <cellStyle name="Normal 8 6 5 2 2 2" xfId="17114" xr:uid="{B2F422EF-74F3-4B52-B4DD-32BAC4BF5B48}"/>
    <cellStyle name="Normal 8 6 5 2 3" xfId="12896" xr:uid="{4FC8B74F-507E-47A1-BB6A-84D950EF3D79}"/>
    <cellStyle name="Normal 8 6 5 3" xfId="6527" xr:uid="{00000000-0005-0000-0000-0000571E0000}"/>
    <cellStyle name="Normal 8 6 5 3 2" xfId="14969" xr:uid="{5883EC01-C064-40F9-919B-4A09EF133278}"/>
    <cellStyle name="Normal 8 6 5 4" xfId="10751" xr:uid="{087528BD-06DE-4F21-8C36-9FD02589E6F1}"/>
    <cellStyle name="Normal 8 6 6" xfId="2656" xr:uid="{00000000-0005-0000-0000-0000581E0000}"/>
    <cellStyle name="Normal 8 6 6 2" xfId="6940" xr:uid="{00000000-0005-0000-0000-0000591E0000}"/>
    <cellStyle name="Normal 8 6 6 2 2" xfId="15382" xr:uid="{AD217F7A-3E64-4027-9121-E4BDF9361BAC}"/>
    <cellStyle name="Normal 8 6 6 3" xfId="11164" xr:uid="{9B97FA0F-2F4B-4111-A3F2-5DDB0DC06ED7}"/>
    <cellStyle name="Normal 8 6 7" xfId="4875" xr:uid="{00000000-0005-0000-0000-00005A1E0000}"/>
    <cellStyle name="Normal 8 6 7 2" xfId="13317" xr:uid="{4F39F618-9BBE-4D06-A9C9-561D71094D03}"/>
    <cellStyle name="Normal 8 6 8" xfId="9099" xr:uid="{4A6257CD-5B1D-461E-A71A-6637E66AE921}"/>
    <cellStyle name="Normal 8 7" xfId="945" xr:uid="{00000000-0005-0000-0000-00005B1E0000}"/>
    <cellStyle name="Normal 8 7 2" xfId="3179" xr:uid="{00000000-0005-0000-0000-00005C1E0000}"/>
    <cellStyle name="Normal 8 7 2 2" xfId="7402" xr:uid="{00000000-0005-0000-0000-00005D1E0000}"/>
    <cellStyle name="Normal 8 7 2 2 2" xfId="15844" xr:uid="{BAFC86E2-AF66-4C93-9F4C-4A5DECE2759B}"/>
    <cellStyle name="Normal 8 7 2 3" xfId="11626" xr:uid="{8D060918-244D-4D9F-AA6E-D75F72A43281}"/>
    <cellStyle name="Normal 8 7 3" xfId="5257" xr:uid="{00000000-0005-0000-0000-00005E1E0000}"/>
    <cellStyle name="Normal 8 7 3 2" xfId="13699" xr:uid="{F6AA6F3B-B1E6-4A7A-A824-DEFF35C72714}"/>
    <cellStyle name="Normal 8 7 4" xfId="9481" xr:uid="{71B5949B-3FB1-4C19-BA27-6E242A2A748C}"/>
    <cellStyle name="Normal 8 8" xfId="1362" xr:uid="{00000000-0005-0000-0000-00005F1E0000}"/>
    <cellStyle name="Normal 8 8 2" xfId="3592" xr:uid="{00000000-0005-0000-0000-0000601E0000}"/>
    <cellStyle name="Normal 8 8 2 2" xfId="7815" xr:uid="{00000000-0005-0000-0000-0000611E0000}"/>
    <cellStyle name="Normal 8 8 2 2 2" xfId="16257" xr:uid="{4F2BB838-0921-42F5-B88D-2CC9AC98552B}"/>
    <cellStyle name="Normal 8 8 2 3" xfId="12039" xr:uid="{18EE14C4-C4CF-4C26-81B0-EE7F01F6E656}"/>
    <cellStyle name="Normal 8 8 3" xfId="5670" xr:uid="{00000000-0005-0000-0000-0000621E0000}"/>
    <cellStyle name="Normal 8 8 3 2" xfId="14112" xr:uid="{2ED21305-038E-441F-AB35-EF36086F154D}"/>
    <cellStyle name="Normal 8 8 4" xfId="9894" xr:uid="{54D190FA-510F-4AD2-B829-781B91A8DEAC}"/>
    <cellStyle name="Normal 8 9" xfId="1775" xr:uid="{00000000-0005-0000-0000-0000631E0000}"/>
    <cellStyle name="Normal 8 9 2" xfId="4005" xr:uid="{00000000-0005-0000-0000-0000641E0000}"/>
    <cellStyle name="Normal 8 9 2 2" xfId="8228" xr:uid="{00000000-0005-0000-0000-0000651E0000}"/>
    <cellStyle name="Normal 8 9 2 2 2" xfId="16670" xr:uid="{8881D810-F27B-4BDA-A5C2-A0E31A46C0D4}"/>
    <cellStyle name="Normal 8 9 2 3" xfId="12452" xr:uid="{CD3D0DF5-8CE7-4F9F-AFDB-15CE23A428E2}"/>
    <cellStyle name="Normal 8 9 3" xfId="6083" xr:uid="{00000000-0005-0000-0000-0000661E0000}"/>
    <cellStyle name="Normal 8 9 3 2" xfId="14525" xr:uid="{B9684AB2-6586-4123-9E15-44C9BFBB3CDA}"/>
    <cellStyle name="Normal 8 9 4" xfId="10307" xr:uid="{9263E667-87F9-4DF9-9B44-5F232F8C221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ED657971-82CB-4A54-916F-59D2BB34855D}"/>
    <cellStyle name="Normal 9 2 10 3" xfId="11165" xr:uid="{F2F67EE1-9133-4DF1-9EC1-6341E6067ABC}"/>
    <cellStyle name="Normal 9 2 11" xfId="4876" xr:uid="{00000000-0005-0000-0000-00006B1E0000}"/>
    <cellStyle name="Normal 9 2 11 2" xfId="13318" xr:uid="{1D1095C8-7F0E-498A-A110-5B025CA1CE2B}"/>
    <cellStyle name="Normal 9 2 12" xfId="9100" xr:uid="{90707801-AB76-4CAF-AF6E-EEE8760E0BEB}"/>
    <cellStyle name="Normal 9 2 2" xfId="512" xr:uid="{00000000-0005-0000-0000-00006C1E0000}"/>
    <cellStyle name="Normal 9 2 2 10" xfId="4877" xr:uid="{00000000-0005-0000-0000-00006D1E0000}"/>
    <cellStyle name="Normal 9 2 2 10 2" xfId="13319" xr:uid="{4FEEB2CE-7FEA-4A89-9D2C-647214549EB0}"/>
    <cellStyle name="Normal 9 2 2 11" xfId="9101" xr:uid="{2ADAB915-EBB7-4103-A0FE-4A1061B99345}"/>
    <cellStyle name="Normal 9 2 2 2" xfId="513" xr:uid="{00000000-0005-0000-0000-00006E1E0000}"/>
    <cellStyle name="Normal 9 2 2 2 10" xfId="9102" xr:uid="{E1C419F6-88FD-4AE2-9DAD-FE78EF456C35}"/>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29CE4CC8-5431-41C4-80A6-EC2893A00BCE}"/>
    <cellStyle name="Normal 9 2 2 2 2 2 2 2 3" xfId="11662" xr:uid="{A8FA0F6C-D0A0-42BF-8EEF-72695B06F5B2}"/>
    <cellStyle name="Normal 9 2 2 2 2 2 2 3" xfId="5293" xr:uid="{00000000-0005-0000-0000-0000741E0000}"/>
    <cellStyle name="Normal 9 2 2 2 2 2 2 3 2" xfId="13735" xr:uid="{C56CB41D-F0D8-4F32-8DA2-5C297AF4176B}"/>
    <cellStyle name="Normal 9 2 2 2 2 2 2 4" xfId="9517" xr:uid="{ECB200D8-4281-4B46-A462-5742848B7A48}"/>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51F5F309-554D-4453-A36B-73906BB0FA34}"/>
    <cellStyle name="Normal 9 2 2 2 2 2 3 2 3" xfId="12075" xr:uid="{22CA13E9-34A9-47B1-BC5C-5D7B70B79705}"/>
    <cellStyle name="Normal 9 2 2 2 2 2 3 3" xfId="5706" xr:uid="{00000000-0005-0000-0000-0000781E0000}"/>
    <cellStyle name="Normal 9 2 2 2 2 2 3 3 2" xfId="14148" xr:uid="{7F0C5364-C7AF-42B0-B143-AFA86D84C641}"/>
    <cellStyle name="Normal 9 2 2 2 2 2 3 4" xfId="9930" xr:uid="{B9F3DBB2-7A43-4468-A454-4E452160589E}"/>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C8C8F59E-006A-4FA7-B287-35FF2E74E208}"/>
    <cellStyle name="Normal 9 2 2 2 2 2 4 2 3" xfId="12488" xr:uid="{8319C39F-6E05-4DF4-8D34-E68A22419490}"/>
    <cellStyle name="Normal 9 2 2 2 2 2 4 3" xfId="6119" xr:uid="{00000000-0005-0000-0000-00007C1E0000}"/>
    <cellStyle name="Normal 9 2 2 2 2 2 4 3 2" xfId="14561" xr:uid="{AB9B07FB-6B26-47FD-92A4-CA711B50E27F}"/>
    <cellStyle name="Normal 9 2 2 2 2 2 4 4" xfId="10343" xr:uid="{94AA6A8D-37B5-4F34-B579-C614681A1ACA}"/>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734BAAD7-27BC-42D1-918C-67F74C94E522}"/>
    <cellStyle name="Normal 9 2 2 2 2 2 5 2 3" xfId="12901" xr:uid="{2DFEA825-428F-4DAD-9236-F5D25A8D2BC6}"/>
    <cellStyle name="Normal 9 2 2 2 2 2 5 3" xfId="6532" xr:uid="{00000000-0005-0000-0000-0000801E0000}"/>
    <cellStyle name="Normal 9 2 2 2 2 2 5 3 2" xfId="14974" xr:uid="{E78F54A9-A78F-4BAC-B668-487EC050CF97}"/>
    <cellStyle name="Normal 9 2 2 2 2 2 5 4" xfId="10756" xr:uid="{6A42BC8B-6F7D-4B5C-965D-B3C3A15FED5B}"/>
    <cellStyle name="Normal 9 2 2 2 2 2 6" xfId="2661" xr:uid="{00000000-0005-0000-0000-0000811E0000}"/>
    <cellStyle name="Normal 9 2 2 2 2 2 6 2" xfId="6945" xr:uid="{00000000-0005-0000-0000-0000821E0000}"/>
    <cellStyle name="Normal 9 2 2 2 2 2 6 2 2" xfId="15387" xr:uid="{587462B5-609C-4ADB-B038-C70014C2F9CD}"/>
    <cellStyle name="Normal 9 2 2 2 2 2 6 3" xfId="11169" xr:uid="{FB64A963-70A0-4759-A0D9-FED82EAD9FD1}"/>
    <cellStyle name="Normal 9 2 2 2 2 2 7" xfId="4880" xr:uid="{00000000-0005-0000-0000-0000831E0000}"/>
    <cellStyle name="Normal 9 2 2 2 2 2 7 2" xfId="13322" xr:uid="{158F432A-DAF6-4C8D-8608-E27E45852834}"/>
    <cellStyle name="Normal 9 2 2 2 2 2 8" xfId="9104" xr:uid="{5587122E-4B95-4992-86F5-15065B375EF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7DA131B0-D87F-4F6C-B7BA-55101B98F48A}"/>
    <cellStyle name="Normal 9 2 2 2 2 3 2 3" xfId="11661" xr:uid="{F6C8881A-6B02-4B33-9101-DF89819CEA4D}"/>
    <cellStyle name="Normal 9 2 2 2 2 3 3" xfId="5292" xr:uid="{00000000-0005-0000-0000-0000871E0000}"/>
    <cellStyle name="Normal 9 2 2 2 2 3 3 2" xfId="13734" xr:uid="{8E8DE9C2-17A9-4858-9BAA-92F1F3B0D2D7}"/>
    <cellStyle name="Normal 9 2 2 2 2 3 4" xfId="9516" xr:uid="{C4D36065-745E-4E77-8927-9ED21A80B0EA}"/>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D04A1B04-1633-4BDE-AD50-CF29756BF9BE}"/>
    <cellStyle name="Normal 9 2 2 2 2 4 2 3" xfId="12074" xr:uid="{91FEBC53-CFDD-4446-8AA5-E7CF3A9A9438}"/>
    <cellStyle name="Normal 9 2 2 2 2 4 3" xfId="5705" xr:uid="{00000000-0005-0000-0000-00008B1E0000}"/>
    <cellStyle name="Normal 9 2 2 2 2 4 3 2" xfId="14147" xr:uid="{80D46EBD-2191-44A8-A247-FDDC31C2D585}"/>
    <cellStyle name="Normal 9 2 2 2 2 4 4" xfId="9929" xr:uid="{0ADFBB8A-8D6A-4195-9C95-907592C1335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9E87BDE-0420-4D7C-AACA-44F9B1FF6AFA}"/>
    <cellStyle name="Normal 9 2 2 2 2 5 2 3" xfId="12487" xr:uid="{1F4F6310-A6B6-4B74-9AB4-AE44E8AAB0EE}"/>
    <cellStyle name="Normal 9 2 2 2 2 5 3" xfId="6118" xr:uid="{00000000-0005-0000-0000-00008F1E0000}"/>
    <cellStyle name="Normal 9 2 2 2 2 5 3 2" xfId="14560" xr:uid="{8B6D677D-8D58-4279-801B-F7E515B3406C}"/>
    <cellStyle name="Normal 9 2 2 2 2 5 4" xfId="10342" xr:uid="{BB14D8CE-EEE3-49E8-899A-5EF31284B938}"/>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B811F037-DF7E-41A8-ACE9-EEB90C30E9AB}"/>
    <cellStyle name="Normal 9 2 2 2 2 6 2 3" xfId="12900" xr:uid="{7FFDBB9D-B1CD-4561-8E16-3B8E288CF2FC}"/>
    <cellStyle name="Normal 9 2 2 2 2 6 3" xfId="6531" xr:uid="{00000000-0005-0000-0000-0000931E0000}"/>
    <cellStyle name="Normal 9 2 2 2 2 6 3 2" xfId="14973" xr:uid="{62A37465-8D09-4E3E-BA90-9AE8A4C64EC5}"/>
    <cellStyle name="Normal 9 2 2 2 2 6 4" xfId="10755" xr:uid="{23F09B92-8A24-4948-BDAD-0F4FD7FE1D0C}"/>
    <cellStyle name="Normal 9 2 2 2 2 7" xfId="2660" xr:uid="{00000000-0005-0000-0000-0000941E0000}"/>
    <cellStyle name="Normal 9 2 2 2 2 7 2" xfId="6944" xr:uid="{00000000-0005-0000-0000-0000951E0000}"/>
    <cellStyle name="Normal 9 2 2 2 2 7 2 2" xfId="15386" xr:uid="{73348C56-4A18-4D7E-B3CA-745379B1AEF1}"/>
    <cellStyle name="Normal 9 2 2 2 2 7 3" xfId="11168" xr:uid="{BA57A1FC-B25D-4000-94B1-6B348F432C98}"/>
    <cellStyle name="Normal 9 2 2 2 2 8" xfId="4879" xr:uid="{00000000-0005-0000-0000-0000961E0000}"/>
    <cellStyle name="Normal 9 2 2 2 2 8 2" xfId="13321" xr:uid="{06BA978B-B67C-4CB2-9706-983295BC324F}"/>
    <cellStyle name="Normal 9 2 2 2 2 9" xfId="9103" xr:uid="{BC1048C4-CC9E-4D66-B776-9A521ABAB82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4F8CD347-129A-422D-B4EB-D150174C4A0F}"/>
    <cellStyle name="Normal 9 2 2 2 3 2 2 3" xfId="11663" xr:uid="{305A6CDF-5FD8-40C6-97A2-D223F3853589}"/>
    <cellStyle name="Normal 9 2 2 2 3 2 3" xfId="5294" xr:uid="{00000000-0005-0000-0000-00009B1E0000}"/>
    <cellStyle name="Normal 9 2 2 2 3 2 3 2" xfId="13736" xr:uid="{3CEA176E-33A3-48F7-8474-E79E6866A016}"/>
    <cellStyle name="Normal 9 2 2 2 3 2 4" xfId="9518" xr:uid="{0DBEDDC1-B961-478E-95DB-1BEAAD117806}"/>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BA833545-2193-494A-951C-F2BB11F07293}"/>
    <cellStyle name="Normal 9 2 2 2 3 3 2 3" xfId="12076" xr:uid="{7E579D9A-EA13-440E-8AC4-5DA6C8EB4935}"/>
    <cellStyle name="Normal 9 2 2 2 3 3 3" xfId="5707" xr:uid="{00000000-0005-0000-0000-00009F1E0000}"/>
    <cellStyle name="Normal 9 2 2 2 3 3 3 2" xfId="14149" xr:uid="{C4A90279-9950-4964-9061-694E1E8F4EFF}"/>
    <cellStyle name="Normal 9 2 2 2 3 3 4" xfId="9931" xr:uid="{18C03EA4-FA61-462C-9664-BDABD9AE6ADE}"/>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1512F91E-942E-49EC-B403-DEA85DB567F0}"/>
    <cellStyle name="Normal 9 2 2 2 3 4 2 3" xfId="12489" xr:uid="{698F28B8-46EF-4A5B-9232-EC9CF6E3399E}"/>
    <cellStyle name="Normal 9 2 2 2 3 4 3" xfId="6120" xr:uid="{00000000-0005-0000-0000-0000A31E0000}"/>
    <cellStyle name="Normal 9 2 2 2 3 4 3 2" xfId="14562" xr:uid="{FB6FF7EA-1891-4F96-A2A1-DDF7081F5E80}"/>
    <cellStyle name="Normal 9 2 2 2 3 4 4" xfId="10344" xr:uid="{85720F8C-4B71-4FD6-B54B-F35CED97B16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D98DDA2D-3EB0-49CE-94A6-3E13F18976FF}"/>
    <cellStyle name="Normal 9 2 2 2 3 5 2 3" xfId="12902" xr:uid="{19E0A083-D1AC-4F55-ACA5-51504D158036}"/>
    <cellStyle name="Normal 9 2 2 2 3 5 3" xfId="6533" xr:uid="{00000000-0005-0000-0000-0000A71E0000}"/>
    <cellStyle name="Normal 9 2 2 2 3 5 3 2" xfId="14975" xr:uid="{CE984E8B-1B24-46C5-AF21-272770374A82}"/>
    <cellStyle name="Normal 9 2 2 2 3 5 4" xfId="10757" xr:uid="{98C34FA4-7844-4296-AF8A-FDC5DEF030D7}"/>
    <cellStyle name="Normal 9 2 2 2 3 6" xfId="2662" xr:uid="{00000000-0005-0000-0000-0000A81E0000}"/>
    <cellStyle name="Normal 9 2 2 2 3 6 2" xfId="6946" xr:uid="{00000000-0005-0000-0000-0000A91E0000}"/>
    <cellStyle name="Normal 9 2 2 2 3 6 2 2" xfId="15388" xr:uid="{CEE2CF20-3CFB-4A6D-B666-C57394729232}"/>
    <cellStyle name="Normal 9 2 2 2 3 6 3" xfId="11170" xr:uid="{9C7F2409-03C2-427B-852E-3BEC91A4C4B6}"/>
    <cellStyle name="Normal 9 2 2 2 3 7" xfId="4881" xr:uid="{00000000-0005-0000-0000-0000AA1E0000}"/>
    <cellStyle name="Normal 9 2 2 2 3 7 2" xfId="13323" xr:uid="{FD4125F6-632A-44B7-B715-D9FB8AA7C938}"/>
    <cellStyle name="Normal 9 2 2 2 3 8" xfId="9105" xr:uid="{20F957C4-CCC8-403A-9DD9-C43E1E087F2C}"/>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7CE5E216-B17B-4828-A098-E9F726DF35D1}"/>
    <cellStyle name="Normal 9 2 2 2 4 2 3" xfId="11660" xr:uid="{52BE49FA-3871-4AF2-9D46-E676E617AC8F}"/>
    <cellStyle name="Normal 9 2 2 2 4 3" xfId="5291" xr:uid="{00000000-0005-0000-0000-0000AE1E0000}"/>
    <cellStyle name="Normal 9 2 2 2 4 3 2" xfId="13733" xr:uid="{1DE684EB-1F63-4D30-9B58-6733AD426541}"/>
    <cellStyle name="Normal 9 2 2 2 4 4" xfId="9515" xr:uid="{1E8CA388-979A-49FE-B62F-DA91CB579383}"/>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060D3641-7D08-4080-8144-19A840A1CA16}"/>
    <cellStyle name="Normal 9 2 2 2 5 2 3" xfId="12073" xr:uid="{531502EE-0A15-4EC7-BA86-735B952C4293}"/>
    <cellStyle name="Normal 9 2 2 2 5 3" xfId="5704" xr:uid="{00000000-0005-0000-0000-0000B21E0000}"/>
    <cellStyle name="Normal 9 2 2 2 5 3 2" xfId="14146" xr:uid="{B28A690C-6808-4363-BD60-9917F3439D4E}"/>
    <cellStyle name="Normal 9 2 2 2 5 4" xfId="9928" xr:uid="{9D9AFB1E-2AB3-49C2-8ABA-07F1C5DAAB85}"/>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995CAFBF-8FDF-4527-80CD-F5D49C0667B7}"/>
    <cellStyle name="Normal 9 2 2 2 6 2 3" xfId="12486" xr:uid="{BE2A817E-3634-4C5D-A2DB-177498F3A31F}"/>
    <cellStyle name="Normal 9 2 2 2 6 3" xfId="6117" xr:uid="{00000000-0005-0000-0000-0000B61E0000}"/>
    <cellStyle name="Normal 9 2 2 2 6 3 2" xfId="14559" xr:uid="{C1BA351E-0E05-49B5-95FA-5247E45233E8}"/>
    <cellStyle name="Normal 9 2 2 2 6 4" xfId="10341" xr:uid="{A6C07ECE-F062-4D0A-AAC1-861BA07FABFB}"/>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2788C86B-4D5D-4489-B236-B7CF07879946}"/>
    <cellStyle name="Normal 9 2 2 2 7 2 3" xfId="12899" xr:uid="{7017CEF7-99A7-49A1-BD4E-A0C05409287E}"/>
    <cellStyle name="Normal 9 2 2 2 7 3" xfId="6530" xr:uid="{00000000-0005-0000-0000-0000BA1E0000}"/>
    <cellStyle name="Normal 9 2 2 2 7 3 2" xfId="14972" xr:uid="{A8869B4E-A614-487D-B494-AC08D764AE65}"/>
    <cellStyle name="Normal 9 2 2 2 7 4" xfId="10754" xr:uid="{94C6AD50-7779-4879-9D11-512D57F2D22C}"/>
    <cellStyle name="Normal 9 2 2 2 8" xfId="2659" xr:uid="{00000000-0005-0000-0000-0000BB1E0000}"/>
    <cellStyle name="Normal 9 2 2 2 8 2" xfId="6943" xr:uid="{00000000-0005-0000-0000-0000BC1E0000}"/>
    <cellStyle name="Normal 9 2 2 2 8 2 2" xfId="15385" xr:uid="{104BE5F0-1686-4413-9771-1CB992B32339}"/>
    <cellStyle name="Normal 9 2 2 2 8 3" xfId="11167" xr:uid="{F7C72FED-C089-4480-B77E-50BD185DDD2F}"/>
    <cellStyle name="Normal 9 2 2 2 9" xfId="4878" xr:uid="{00000000-0005-0000-0000-0000BD1E0000}"/>
    <cellStyle name="Normal 9 2 2 2 9 2" xfId="13320" xr:uid="{FABF1F72-3489-4782-A8B6-EA74F77E97F2}"/>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91594226-352C-4250-8597-A97C8F97732C}"/>
    <cellStyle name="Normal 9 2 2 3 2 2 2 3" xfId="11665" xr:uid="{FDD8092C-3963-44F4-933F-EF1822DA6D59}"/>
    <cellStyle name="Normal 9 2 2 3 2 2 3" xfId="5296" xr:uid="{00000000-0005-0000-0000-0000C31E0000}"/>
    <cellStyle name="Normal 9 2 2 3 2 2 3 2" xfId="13738" xr:uid="{724C0824-9EE7-483C-BFB3-1F48259DAFDB}"/>
    <cellStyle name="Normal 9 2 2 3 2 2 4" xfId="9520" xr:uid="{C8A59F67-06ED-4E19-83BF-7EDF2D0DDB28}"/>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EE1FEFB5-13A4-4F1B-A395-961AB6FEC68E}"/>
    <cellStyle name="Normal 9 2 2 3 2 3 2 3" xfId="12078" xr:uid="{927DA910-EFBD-4257-988F-FBB3324AEB28}"/>
    <cellStyle name="Normal 9 2 2 3 2 3 3" xfId="5709" xr:uid="{00000000-0005-0000-0000-0000C71E0000}"/>
    <cellStyle name="Normal 9 2 2 3 2 3 3 2" xfId="14151" xr:uid="{21DFFCAF-95D7-4047-AEF8-F8467654BCAA}"/>
    <cellStyle name="Normal 9 2 2 3 2 3 4" xfId="9933" xr:uid="{61200D24-8E4D-46A0-B423-66F0C5C223AB}"/>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6D4242F5-E79C-458D-8F2A-5292D072448A}"/>
    <cellStyle name="Normal 9 2 2 3 2 4 2 3" xfId="12491" xr:uid="{9FE6BA80-C815-44BD-8A81-091E5ED601DE}"/>
    <cellStyle name="Normal 9 2 2 3 2 4 3" xfId="6122" xr:uid="{00000000-0005-0000-0000-0000CB1E0000}"/>
    <cellStyle name="Normal 9 2 2 3 2 4 3 2" xfId="14564" xr:uid="{424132DA-26C3-4EE4-BB2C-C3EE6C617B7A}"/>
    <cellStyle name="Normal 9 2 2 3 2 4 4" xfId="10346" xr:uid="{78109482-68D9-42A7-9280-2ACC876DAC9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34E8D282-26DE-4157-A9A3-81B8EF3C0F9C}"/>
    <cellStyle name="Normal 9 2 2 3 2 5 2 3" xfId="12904" xr:uid="{912CEC93-6056-4AB5-BB2E-E6B12F3C53B9}"/>
    <cellStyle name="Normal 9 2 2 3 2 5 3" xfId="6535" xr:uid="{00000000-0005-0000-0000-0000CF1E0000}"/>
    <cellStyle name="Normal 9 2 2 3 2 5 3 2" xfId="14977" xr:uid="{601C7C26-E277-44FE-AAE9-80CC8192E7A7}"/>
    <cellStyle name="Normal 9 2 2 3 2 5 4" xfId="10759" xr:uid="{3FB17944-28B7-4994-A23E-77FC8416B78E}"/>
    <cellStyle name="Normal 9 2 2 3 2 6" xfId="2664" xr:uid="{00000000-0005-0000-0000-0000D01E0000}"/>
    <cellStyle name="Normal 9 2 2 3 2 6 2" xfId="6948" xr:uid="{00000000-0005-0000-0000-0000D11E0000}"/>
    <cellStyle name="Normal 9 2 2 3 2 6 2 2" xfId="15390" xr:uid="{76629D7C-9AD9-47B1-8569-D97213911987}"/>
    <cellStyle name="Normal 9 2 2 3 2 6 3" xfId="11172" xr:uid="{92BADF49-3922-413C-AC2F-893459475F38}"/>
    <cellStyle name="Normal 9 2 2 3 2 7" xfId="4883" xr:uid="{00000000-0005-0000-0000-0000D21E0000}"/>
    <cellStyle name="Normal 9 2 2 3 2 7 2" xfId="13325" xr:uid="{34F897EA-9F89-4A04-8594-9F67FCC618C3}"/>
    <cellStyle name="Normal 9 2 2 3 2 8" xfId="9107" xr:uid="{6B7EB0B6-B135-4DEC-BE62-99EAB397E059}"/>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A4C34198-B10C-4D21-9054-CA7F9546367E}"/>
    <cellStyle name="Normal 9 2 2 3 3 2 3" xfId="11664" xr:uid="{D7C3BAEE-733D-4C65-A75B-34912A047FAF}"/>
    <cellStyle name="Normal 9 2 2 3 3 3" xfId="5295" xr:uid="{00000000-0005-0000-0000-0000D61E0000}"/>
    <cellStyle name="Normal 9 2 2 3 3 3 2" xfId="13737" xr:uid="{DE5AE2EA-89DD-4919-A9CB-3C1CA7928628}"/>
    <cellStyle name="Normal 9 2 2 3 3 4" xfId="9519" xr:uid="{13F84327-3447-47D4-88B2-2F1E7435CFC7}"/>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2F08C407-4F27-4296-AE6B-9B0D5E4F743A}"/>
    <cellStyle name="Normal 9 2 2 3 4 2 3" xfId="12077" xr:uid="{CEB0DD84-E344-4E24-A915-C183C867DCF7}"/>
    <cellStyle name="Normal 9 2 2 3 4 3" xfId="5708" xr:uid="{00000000-0005-0000-0000-0000DA1E0000}"/>
    <cellStyle name="Normal 9 2 2 3 4 3 2" xfId="14150" xr:uid="{FE6D9AF4-4E59-472F-ADAB-75904D550386}"/>
    <cellStyle name="Normal 9 2 2 3 4 4" xfId="9932" xr:uid="{CBFB18FD-F64E-4AA2-995E-90E083A489E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7DCE0B18-F428-42C7-9CF2-C71253CF190A}"/>
    <cellStyle name="Normal 9 2 2 3 5 2 3" xfId="12490" xr:uid="{186B59F6-E0EA-4B61-801A-FEBFC32D7898}"/>
    <cellStyle name="Normal 9 2 2 3 5 3" xfId="6121" xr:uid="{00000000-0005-0000-0000-0000DE1E0000}"/>
    <cellStyle name="Normal 9 2 2 3 5 3 2" xfId="14563" xr:uid="{49991EC7-F046-4605-A6B1-FA4A8AB9995A}"/>
    <cellStyle name="Normal 9 2 2 3 5 4" xfId="10345" xr:uid="{87FD1394-1491-4360-8235-5B03FB12C768}"/>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0BC43152-17E2-4F86-B5DC-D3EA5C31A881}"/>
    <cellStyle name="Normal 9 2 2 3 6 2 3" xfId="12903" xr:uid="{41331384-3292-42E5-A57B-497E3E045492}"/>
    <cellStyle name="Normal 9 2 2 3 6 3" xfId="6534" xr:uid="{00000000-0005-0000-0000-0000E21E0000}"/>
    <cellStyle name="Normal 9 2 2 3 6 3 2" xfId="14976" xr:uid="{5955B28F-4871-450D-903B-8FDA0573405E}"/>
    <cellStyle name="Normal 9 2 2 3 6 4" xfId="10758" xr:uid="{97DA1D05-AE09-401E-A867-79F9DCF4700C}"/>
    <cellStyle name="Normal 9 2 2 3 7" xfId="2663" xr:uid="{00000000-0005-0000-0000-0000E31E0000}"/>
    <cellStyle name="Normal 9 2 2 3 7 2" xfId="6947" xr:uid="{00000000-0005-0000-0000-0000E41E0000}"/>
    <cellStyle name="Normal 9 2 2 3 7 2 2" xfId="15389" xr:uid="{8B5F44FB-9924-4603-914E-81D62C2A8E11}"/>
    <cellStyle name="Normal 9 2 2 3 7 3" xfId="11171" xr:uid="{BA70DC9D-E408-4C9E-A308-9C125D624131}"/>
    <cellStyle name="Normal 9 2 2 3 8" xfId="4882" xr:uid="{00000000-0005-0000-0000-0000E51E0000}"/>
    <cellStyle name="Normal 9 2 2 3 8 2" xfId="13324" xr:uid="{A57D7B88-F4C0-4716-95B5-BD33DB4ABF52}"/>
    <cellStyle name="Normal 9 2 2 3 9" xfId="9106" xr:uid="{D1F01BD2-D959-4364-B204-CD54EF14FF66}"/>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C27E20FF-013B-406A-924F-FB88A1953E7F}"/>
    <cellStyle name="Normal 9 2 2 4 2 2 3" xfId="11666" xr:uid="{CDA118C5-4315-45E4-8E4B-30EEBAAB5E8A}"/>
    <cellStyle name="Normal 9 2 2 4 2 3" xfId="5297" xr:uid="{00000000-0005-0000-0000-0000EA1E0000}"/>
    <cellStyle name="Normal 9 2 2 4 2 3 2" xfId="13739" xr:uid="{5ADA6823-E622-4AD5-9628-4B10D026AE22}"/>
    <cellStyle name="Normal 9 2 2 4 2 4" xfId="9521" xr:uid="{E1AD3E5A-0FF5-4D7D-B68B-122CCD60F07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31481BE4-5A9A-4B99-ABB1-F081C17601CC}"/>
    <cellStyle name="Normal 9 2 2 4 3 2 3" xfId="12079" xr:uid="{A27F53D7-82A5-4CBB-9CD9-AA4D5515390F}"/>
    <cellStyle name="Normal 9 2 2 4 3 3" xfId="5710" xr:uid="{00000000-0005-0000-0000-0000EE1E0000}"/>
    <cellStyle name="Normal 9 2 2 4 3 3 2" xfId="14152" xr:uid="{8FAE29F6-3BEC-4544-B92E-358361FA4031}"/>
    <cellStyle name="Normal 9 2 2 4 3 4" xfId="9934" xr:uid="{8941B99E-D511-4AD0-BFBD-F2DA78D090F3}"/>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795E9D84-7E77-4786-B193-5371049A1AEB}"/>
    <cellStyle name="Normal 9 2 2 4 4 2 3" xfId="12492" xr:uid="{A1690E56-D401-4994-89B2-0E1FC8F63B17}"/>
    <cellStyle name="Normal 9 2 2 4 4 3" xfId="6123" xr:uid="{00000000-0005-0000-0000-0000F21E0000}"/>
    <cellStyle name="Normal 9 2 2 4 4 3 2" xfId="14565" xr:uid="{EA27CB66-78F3-4EF0-A552-1813C6359086}"/>
    <cellStyle name="Normal 9 2 2 4 4 4" xfId="10347" xr:uid="{A75B74E3-008A-49A2-A196-06A7CFBFD3C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F092F1CF-6A14-415A-AD55-9A2C34103B51}"/>
    <cellStyle name="Normal 9 2 2 4 5 2 3" xfId="12905" xr:uid="{87CE905C-E234-424E-B34D-043A6C56F9E3}"/>
    <cellStyle name="Normal 9 2 2 4 5 3" xfId="6536" xr:uid="{00000000-0005-0000-0000-0000F61E0000}"/>
    <cellStyle name="Normal 9 2 2 4 5 3 2" xfId="14978" xr:uid="{CDB6D8B2-7B4C-400C-88F3-626099888EAC}"/>
    <cellStyle name="Normal 9 2 2 4 5 4" xfId="10760" xr:uid="{8460D679-9E94-4574-9A62-E70202B60845}"/>
    <cellStyle name="Normal 9 2 2 4 6" xfId="2665" xr:uid="{00000000-0005-0000-0000-0000F71E0000}"/>
    <cellStyle name="Normal 9 2 2 4 6 2" xfId="6949" xr:uid="{00000000-0005-0000-0000-0000F81E0000}"/>
    <cellStyle name="Normal 9 2 2 4 6 2 2" xfId="15391" xr:uid="{389F5314-AEAF-4AE0-AEB7-CD6D149A4868}"/>
    <cellStyle name="Normal 9 2 2 4 6 3" xfId="11173" xr:uid="{9DC1C5CB-CC43-4375-A9DC-71280CA9FC6D}"/>
    <cellStyle name="Normal 9 2 2 4 7" xfId="4884" xr:uid="{00000000-0005-0000-0000-0000F91E0000}"/>
    <cellStyle name="Normal 9 2 2 4 7 2" xfId="13326" xr:uid="{0BB0B5F6-6FD4-4102-A3A5-0BE8836F4434}"/>
    <cellStyle name="Normal 9 2 2 4 8" xfId="9108" xr:uid="{C5CD99F6-E648-4808-A040-623C0B0567E6}"/>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764CAC34-551D-4B6D-941C-6EDBBFB74334}"/>
    <cellStyle name="Normal 9 2 2 5 2 3" xfId="11659" xr:uid="{6F92B5E3-D8D4-4D96-88F4-770A57CFB12D}"/>
    <cellStyle name="Normal 9 2 2 5 3" xfId="5290" xr:uid="{00000000-0005-0000-0000-0000FD1E0000}"/>
    <cellStyle name="Normal 9 2 2 5 3 2" xfId="13732" xr:uid="{FB778B20-1DC9-4C08-9709-91310360A3A8}"/>
    <cellStyle name="Normal 9 2 2 5 4" xfId="9514" xr:uid="{1E5465AE-2C34-4EE7-ABB2-BAC3D5A48A44}"/>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2744960D-4C2C-43FE-B748-C7CA9050352D}"/>
    <cellStyle name="Normal 9 2 2 6 2 3" xfId="12072" xr:uid="{04963851-1926-4237-AD92-EC6B68CC406C}"/>
    <cellStyle name="Normal 9 2 2 6 3" xfId="5703" xr:uid="{00000000-0005-0000-0000-0000011F0000}"/>
    <cellStyle name="Normal 9 2 2 6 3 2" xfId="14145" xr:uid="{929A6FF7-DF7A-4DE0-9137-C04D8C69DB3B}"/>
    <cellStyle name="Normal 9 2 2 6 4" xfId="9927" xr:uid="{469DE8E5-6213-46E4-99F6-1449869C29C4}"/>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2FBEBF45-52A6-46F0-AE95-730E73851194}"/>
    <cellStyle name="Normal 9 2 2 7 2 3" xfId="12485" xr:uid="{C7302301-57B3-4168-8508-5FA4F4AA0DE2}"/>
    <cellStyle name="Normal 9 2 2 7 3" xfId="6116" xr:uid="{00000000-0005-0000-0000-0000051F0000}"/>
    <cellStyle name="Normal 9 2 2 7 3 2" xfId="14558" xr:uid="{23BAE5F0-F60B-41B4-990F-30B0A7234D17}"/>
    <cellStyle name="Normal 9 2 2 7 4" xfId="10340" xr:uid="{403001B2-A47E-4039-8A12-4CF494549C7F}"/>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7595CD10-6D79-4FB0-8186-5630CA37B84A}"/>
    <cellStyle name="Normal 9 2 2 8 2 3" xfId="12898" xr:uid="{BC28E30D-C6BB-48F9-8998-BE5135E04D38}"/>
    <cellStyle name="Normal 9 2 2 8 3" xfId="6529" xr:uid="{00000000-0005-0000-0000-0000091F0000}"/>
    <cellStyle name="Normal 9 2 2 8 3 2" xfId="14971" xr:uid="{0B3A906E-F791-4EF7-AC73-C65CE98768C7}"/>
    <cellStyle name="Normal 9 2 2 8 4" xfId="10753" xr:uid="{C7029DED-3841-47D9-B0DD-52FC0E038A13}"/>
    <cellStyle name="Normal 9 2 2 9" xfId="2658" xr:uid="{00000000-0005-0000-0000-00000A1F0000}"/>
    <cellStyle name="Normal 9 2 2 9 2" xfId="6942" xr:uid="{00000000-0005-0000-0000-00000B1F0000}"/>
    <cellStyle name="Normal 9 2 2 9 2 2" xfId="15384" xr:uid="{7CFAEC31-468B-4D38-BEAC-1E13DB521152}"/>
    <cellStyle name="Normal 9 2 2 9 3" xfId="11166" xr:uid="{4EC083CD-D462-47E0-9640-2D435F7E8B2B}"/>
    <cellStyle name="Normal 9 2 3" xfId="520" xr:uid="{00000000-0005-0000-0000-00000C1F0000}"/>
    <cellStyle name="Normal 9 2 3 10" xfId="9109" xr:uid="{D8AD5645-D876-4E20-A0F6-70EB1E472BC9}"/>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5FEFED8C-AC25-4ABA-8ABA-FE1CB64D811A}"/>
    <cellStyle name="Normal 9 2 3 2 2 2 2 3" xfId="11669" xr:uid="{395B116F-67B5-427A-8DC5-CD409334BF93}"/>
    <cellStyle name="Normal 9 2 3 2 2 2 3" xfId="5300" xr:uid="{00000000-0005-0000-0000-0000121F0000}"/>
    <cellStyle name="Normal 9 2 3 2 2 2 3 2" xfId="13742" xr:uid="{480A90F9-D989-415D-82C3-051D5BAE36F1}"/>
    <cellStyle name="Normal 9 2 3 2 2 2 4" xfId="9524" xr:uid="{E228D288-3B47-4EA9-8E2B-3F8EBD0E6219}"/>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D9857902-44F2-4593-96D8-EDFE22F52BFB}"/>
    <cellStyle name="Normal 9 2 3 2 2 3 2 3" xfId="12082" xr:uid="{D062FF6F-C85E-4546-AFF4-38B7EC07E9F0}"/>
    <cellStyle name="Normal 9 2 3 2 2 3 3" xfId="5713" xr:uid="{00000000-0005-0000-0000-0000161F0000}"/>
    <cellStyle name="Normal 9 2 3 2 2 3 3 2" xfId="14155" xr:uid="{E5170052-C754-4D90-965B-3FB4BB2E05B5}"/>
    <cellStyle name="Normal 9 2 3 2 2 3 4" xfId="9937" xr:uid="{408C277B-CFCA-4176-8C97-1FBE06EBB1D5}"/>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933B092-20E3-4497-A5AE-12DFB0FFC61B}"/>
    <cellStyle name="Normal 9 2 3 2 2 4 2 3" xfId="12495" xr:uid="{97BFF0A4-F2B0-4558-BC1D-878F8EB9BC95}"/>
    <cellStyle name="Normal 9 2 3 2 2 4 3" xfId="6126" xr:uid="{00000000-0005-0000-0000-00001A1F0000}"/>
    <cellStyle name="Normal 9 2 3 2 2 4 3 2" xfId="14568" xr:uid="{C3E5771C-B9C6-4BD7-8BEB-1FFC5FE0E205}"/>
    <cellStyle name="Normal 9 2 3 2 2 4 4" xfId="10350" xr:uid="{B9A8DB24-26E1-4C52-963A-DEA77FD267C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F7795E3B-3E95-48F2-B3AC-94431CDF480C}"/>
    <cellStyle name="Normal 9 2 3 2 2 5 2 3" xfId="12908" xr:uid="{61B91AAB-7BE6-4663-9BD8-C42301838E28}"/>
    <cellStyle name="Normal 9 2 3 2 2 5 3" xfId="6539" xr:uid="{00000000-0005-0000-0000-00001E1F0000}"/>
    <cellStyle name="Normal 9 2 3 2 2 5 3 2" xfId="14981" xr:uid="{F7F93BC1-2B4E-4FB1-955C-8D394F414A10}"/>
    <cellStyle name="Normal 9 2 3 2 2 5 4" xfId="10763" xr:uid="{60438F3F-31BF-4FFB-BF3B-089C39B6C9F6}"/>
    <cellStyle name="Normal 9 2 3 2 2 6" xfId="2668" xr:uid="{00000000-0005-0000-0000-00001F1F0000}"/>
    <cellStyle name="Normal 9 2 3 2 2 6 2" xfId="6952" xr:uid="{00000000-0005-0000-0000-0000201F0000}"/>
    <cellStyle name="Normal 9 2 3 2 2 6 2 2" xfId="15394" xr:uid="{D19B5B54-FB96-4D56-8C6C-271B054CD35E}"/>
    <cellStyle name="Normal 9 2 3 2 2 6 3" xfId="11176" xr:uid="{F330ED70-0DC5-4071-B4C5-28155E176324}"/>
    <cellStyle name="Normal 9 2 3 2 2 7" xfId="4887" xr:uid="{00000000-0005-0000-0000-0000211F0000}"/>
    <cellStyle name="Normal 9 2 3 2 2 7 2" xfId="13329" xr:uid="{8175F929-98AA-4B70-B851-D001DBF39020}"/>
    <cellStyle name="Normal 9 2 3 2 2 8" xfId="9111" xr:uid="{7F6EA73A-F7F6-4D14-AFA1-3FC1548086E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B33059A9-C5B2-47D7-A294-E27BBB8699BF}"/>
    <cellStyle name="Normal 9 2 3 2 3 2 3" xfId="11668" xr:uid="{0A74C641-627C-4EA6-8A3C-F4EA4536126D}"/>
    <cellStyle name="Normal 9 2 3 2 3 3" xfId="5299" xr:uid="{00000000-0005-0000-0000-0000251F0000}"/>
    <cellStyle name="Normal 9 2 3 2 3 3 2" xfId="13741" xr:uid="{95050549-76BF-46DB-BF40-08426F0F79E1}"/>
    <cellStyle name="Normal 9 2 3 2 3 4" xfId="9523" xr:uid="{FE7AC26A-D4ED-4E6E-B6F3-E305FE47147D}"/>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F1BDEBE7-3BFA-435C-ABA6-03CA403CA329}"/>
    <cellStyle name="Normal 9 2 3 2 4 2 3" xfId="12081" xr:uid="{AD649005-8DDE-4CB4-A3BA-CB2DF0FB35DE}"/>
    <cellStyle name="Normal 9 2 3 2 4 3" xfId="5712" xr:uid="{00000000-0005-0000-0000-0000291F0000}"/>
    <cellStyle name="Normal 9 2 3 2 4 3 2" xfId="14154" xr:uid="{6F4A5054-E4E0-4C4D-9529-CEE39C6A13B6}"/>
    <cellStyle name="Normal 9 2 3 2 4 4" xfId="9936" xr:uid="{9153F22B-B394-40C4-A749-BEC33016E5D9}"/>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BDC7826D-6708-4F0B-8D2A-E798CF12F208}"/>
    <cellStyle name="Normal 9 2 3 2 5 2 3" xfId="12494" xr:uid="{6FD167C6-7DC1-44E4-B6D8-CBE323306450}"/>
    <cellStyle name="Normal 9 2 3 2 5 3" xfId="6125" xr:uid="{00000000-0005-0000-0000-00002D1F0000}"/>
    <cellStyle name="Normal 9 2 3 2 5 3 2" xfId="14567" xr:uid="{222845EA-D3D8-40DC-953F-BD869DBFE774}"/>
    <cellStyle name="Normal 9 2 3 2 5 4" xfId="10349" xr:uid="{1898C12A-AC2E-46D6-9C3B-2A3E2D714406}"/>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F483A972-FD52-4E51-8090-223792EAB955}"/>
    <cellStyle name="Normal 9 2 3 2 6 2 3" xfId="12907" xr:uid="{8520D941-5B1B-4E80-B501-DA70478001B7}"/>
    <cellStyle name="Normal 9 2 3 2 6 3" xfId="6538" xr:uid="{00000000-0005-0000-0000-0000311F0000}"/>
    <cellStyle name="Normal 9 2 3 2 6 3 2" xfId="14980" xr:uid="{7307E813-E516-4423-B6B7-F2CFAF2635A6}"/>
    <cellStyle name="Normal 9 2 3 2 6 4" xfId="10762" xr:uid="{8AEAB119-7699-4B2F-BD9B-DDE64632B1B1}"/>
    <cellStyle name="Normal 9 2 3 2 7" xfId="2667" xr:uid="{00000000-0005-0000-0000-0000321F0000}"/>
    <cellStyle name="Normal 9 2 3 2 7 2" xfId="6951" xr:uid="{00000000-0005-0000-0000-0000331F0000}"/>
    <cellStyle name="Normal 9 2 3 2 7 2 2" xfId="15393" xr:uid="{203CCCF5-2EE0-4BE7-98D8-BBF35E0672E8}"/>
    <cellStyle name="Normal 9 2 3 2 7 3" xfId="11175" xr:uid="{1F1C0092-DA63-4AF4-8898-1CBB0ADADCBC}"/>
    <cellStyle name="Normal 9 2 3 2 8" xfId="4886" xr:uid="{00000000-0005-0000-0000-0000341F0000}"/>
    <cellStyle name="Normal 9 2 3 2 8 2" xfId="13328" xr:uid="{5C60EEAE-C18E-4291-8F96-8AF236AAE301}"/>
    <cellStyle name="Normal 9 2 3 2 9" xfId="9110" xr:uid="{CCF52785-40CE-4392-981E-33711B536F61}"/>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F70D61A9-2A80-463F-9A69-00572C05F2E0}"/>
    <cellStyle name="Normal 9 2 3 3 2 2 3" xfId="11670" xr:uid="{F647EAD6-9A75-4655-B2EF-FC59F8DAB1A1}"/>
    <cellStyle name="Normal 9 2 3 3 2 3" xfId="5301" xr:uid="{00000000-0005-0000-0000-0000391F0000}"/>
    <cellStyle name="Normal 9 2 3 3 2 3 2" xfId="13743" xr:uid="{6CD4A858-703B-4A4D-901E-FFF34B5B8F47}"/>
    <cellStyle name="Normal 9 2 3 3 2 4" xfId="9525" xr:uid="{FBC3FE27-AE55-4846-8BA2-32514EB2AB0B}"/>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BD66F881-A11C-481B-BFFD-2CB41B6E456D}"/>
    <cellStyle name="Normal 9 2 3 3 3 2 3" xfId="12083" xr:uid="{E7183FA5-6663-4BA3-8B81-E87B8D1600DC}"/>
    <cellStyle name="Normal 9 2 3 3 3 3" xfId="5714" xr:uid="{00000000-0005-0000-0000-00003D1F0000}"/>
    <cellStyle name="Normal 9 2 3 3 3 3 2" xfId="14156" xr:uid="{D0E7FAFA-2F59-4D2E-A881-BD5D518B96B1}"/>
    <cellStyle name="Normal 9 2 3 3 3 4" xfId="9938" xr:uid="{36FEB759-1C0A-4DB5-A555-E8CDC704F77B}"/>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CA7C77D9-92CC-4D5B-AC30-52005C8C5E60}"/>
    <cellStyle name="Normal 9 2 3 3 4 2 3" xfId="12496" xr:uid="{CF014ED2-0166-4007-8F27-FE2D351BB8DD}"/>
    <cellStyle name="Normal 9 2 3 3 4 3" xfId="6127" xr:uid="{00000000-0005-0000-0000-0000411F0000}"/>
    <cellStyle name="Normal 9 2 3 3 4 3 2" xfId="14569" xr:uid="{057764E5-AF00-442C-819C-4F946F4F9B08}"/>
    <cellStyle name="Normal 9 2 3 3 4 4" xfId="10351" xr:uid="{44AF95CF-D9DA-44DD-B900-74C91309FECA}"/>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AC0A2306-D740-48A3-BEB3-F748B6F67C0A}"/>
    <cellStyle name="Normal 9 2 3 3 5 2 3" xfId="12909" xr:uid="{1D530A1E-B507-4028-B2FA-063D0645DB45}"/>
    <cellStyle name="Normal 9 2 3 3 5 3" xfId="6540" xr:uid="{00000000-0005-0000-0000-0000451F0000}"/>
    <cellStyle name="Normal 9 2 3 3 5 3 2" xfId="14982" xr:uid="{D2171DA2-9814-4779-A470-727CB3B4CC88}"/>
    <cellStyle name="Normal 9 2 3 3 5 4" xfId="10764" xr:uid="{AC0FBE00-92FC-4FB3-91EA-128E7176C8FC}"/>
    <cellStyle name="Normal 9 2 3 3 6" xfId="2669" xr:uid="{00000000-0005-0000-0000-0000461F0000}"/>
    <cellStyle name="Normal 9 2 3 3 6 2" xfId="6953" xr:uid="{00000000-0005-0000-0000-0000471F0000}"/>
    <cellStyle name="Normal 9 2 3 3 6 2 2" xfId="15395" xr:uid="{9F73BCBF-2591-4192-B8DC-4142C14C4E59}"/>
    <cellStyle name="Normal 9 2 3 3 6 3" xfId="11177" xr:uid="{BC4896E4-239A-4040-9F01-3F9ED6D9FEB6}"/>
    <cellStyle name="Normal 9 2 3 3 7" xfId="4888" xr:uid="{00000000-0005-0000-0000-0000481F0000}"/>
    <cellStyle name="Normal 9 2 3 3 7 2" xfId="13330" xr:uid="{C6905841-6A43-4E55-8F0B-C45D5D91130B}"/>
    <cellStyle name="Normal 9 2 3 3 8" xfId="9112" xr:uid="{60B33504-DF72-4EF8-8331-8A1F616CB219}"/>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43529A0A-804E-40BF-8C74-76967253A3DE}"/>
    <cellStyle name="Normal 9 2 3 4 2 3" xfId="11667" xr:uid="{C579CB1C-35C9-4065-8FE8-38FA4B130E9B}"/>
    <cellStyle name="Normal 9 2 3 4 3" xfId="5298" xr:uid="{00000000-0005-0000-0000-00004C1F0000}"/>
    <cellStyle name="Normal 9 2 3 4 3 2" xfId="13740" xr:uid="{603950A0-C3AF-4E82-A6C8-7655F5C421F0}"/>
    <cellStyle name="Normal 9 2 3 4 4" xfId="9522" xr:uid="{C3837D21-DD02-45D0-A768-23505E884816}"/>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6D131F9A-91DF-4CC3-941E-BA9F3BD1D653}"/>
    <cellStyle name="Normal 9 2 3 5 2 3" xfId="12080" xr:uid="{D74B3B3C-815E-45A3-A328-649E49298690}"/>
    <cellStyle name="Normal 9 2 3 5 3" xfId="5711" xr:uid="{00000000-0005-0000-0000-0000501F0000}"/>
    <cellStyle name="Normal 9 2 3 5 3 2" xfId="14153" xr:uid="{C35A43B5-B43A-47D6-BDDB-79CF622486D7}"/>
    <cellStyle name="Normal 9 2 3 5 4" xfId="9935" xr:uid="{23EB1C0F-1F7D-49A6-B27E-7A6915C7D40A}"/>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47C3CE26-9A1B-49B1-B24E-927DDA5C05C0}"/>
    <cellStyle name="Normal 9 2 3 6 2 3" xfId="12493" xr:uid="{8C5DAE6E-F21A-4440-BF9B-D9E3B30E16F2}"/>
    <cellStyle name="Normal 9 2 3 6 3" xfId="6124" xr:uid="{00000000-0005-0000-0000-0000541F0000}"/>
    <cellStyle name="Normal 9 2 3 6 3 2" xfId="14566" xr:uid="{8AA0869F-D95D-40D1-9E99-278228C7BF9C}"/>
    <cellStyle name="Normal 9 2 3 6 4" xfId="10348" xr:uid="{7652A46F-8B4F-43A2-A8C3-53770C792BE4}"/>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39DA5C79-BE2F-4594-99F0-CD9A1C27F1FB}"/>
    <cellStyle name="Normal 9 2 3 7 2 3" xfId="12906" xr:uid="{55740DC4-898D-49ED-BBF0-E371F39DDEA0}"/>
    <cellStyle name="Normal 9 2 3 7 3" xfId="6537" xr:uid="{00000000-0005-0000-0000-0000581F0000}"/>
    <cellStyle name="Normal 9 2 3 7 3 2" xfId="14979" xr:uid="{4220A699-C24B-4ECF-907B-AC20C637F3F9}"/>
    <cellStyle name="Normal 9 2 3 7 4" xfId="10761" xr:uid="{85EA078D-6545-4EC8-93A6-377529365537}"/>
    <cellStyle name="Normal 9 2 3 8" xfId="2666" xr:uid="{00000000-0005-0000-0000-0000591F0000}"/>
    <cellStyle name="Normal 9 2 3 8 2" xfId="6950" xr:uid="{00000000-0005-0000-0000-00005A1F0000}"/>
    <cellStyle name="Normal 9 2 3 8 2 2" xfId="15392" xr:uid="{0D23B857-F064-483A-A908-25DFABFC3E7C}"/>
    <cellStyle name="Normal 9 2 3 8 3" xfId="11174" xr:uid="{F722E65F-302E-4689-86FF-B957BC262938}"/>
    <cellStyle name="Normal 9 2 3 9" xfId="4885" xr:uid="{00000000-0005-0000-0000-00005B1F0000}"/>
    <cellStyle name="Normal 9 2 3 9 2" xfId="13327" xr:uid="{980C3122-10E6-479C-A30D-154203563174}"/>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091A8328-07CA-4159-A0B9-BE50A2D7F77F}"/>
    <cellStyle name="Normal 9 2 4 2 2 2 3" xfId="11672" xr:uid="{532467F8-0804-4F2E-8E4F-0616042F7A72}"/>
    <cellStyle name="Normal 9 2 4 2 2 3" xfId="5303" xr:uid="{00000000-0005-0000-0000-0000611F0000}"/>
    <cellStyle name="Normal 9 2 4 2 2 3 2" xfId="13745" xr:uid="{95E4B1E3-2FAA-4D75-8556-F178AACDAAE6}"/>
    <cellStyle name="Normal 9 2 4 2 2 4" xfId="9527" xr:uid="{5E9FC5EC-D985-4A67-97A5-7A224143FDD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53B8FA5D-D09E-485E-9835-61392283C497}"/>
    <cellStyle name="Normal 9 2 4 2 3 2 3" xfId="12085" xr:uid="{4609F005-ADB4-45B8-A16C-4304F2A8C888}"/>
    <cellStyle name="Normal 9 2 4 2 3 3" xfId="5716" xr:uid="{00000000-0005-0000-0000-0000651F0000}"/>
    <cellStyle name="Normal 9 2 4 2 3 3 2" xfId="14158" xr:uid="{E2B363F0-A1C3-456B-9F5A-AAA5F18F79C6}"/>
    <cellStyle name="Normal 9 2 4 2 3 4" xfId="9940" xr:uid="{61D10ED0-CD27-4737-B186-A0199EF5D2C6}"/>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135F2332-73E9-4ED9-8B69-7492A01CB40A}"/>
    <cellStyle name="Normal 9 2 4 2 4 2 3" xfId="12498" xr:uid="{773516A3-7AB8-4D11-8081-89A08879BD6F}"/>
    <cellStyle name="Normal 9 2 4 2 4 3" xfId="6129" xr:uid="{00000000-0005-0000-0000-0000691F0000}"/>
    <cellStyle name="Normal 9 2 4 2 4 3 2" xfId="14571" xr:uid="{1006E164-8222-4D3E-B9EB-96B294164BB1}"/>
    <cellStyle name="Normal 9 2 4 2 4 4" xfId="10353" xr:uid="{A1F22691-45BB-471A-B224-A6BE5F7AE93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DC38622F-B5B5-4CC5-8E78-708799193827}"/>
    <cellStyle name="Normal 9 2 4 2 5 2 3" xfId="12911" xr:uid="{45219670-1D65-42C2-854C-734E3BE287AF}"/>
    <cellStyle name="Normal 9 2 4 2 5 3" xfId="6542" xr:uid="{00000000-0005-0000-0000-00006D1F0000}"/>
    <cellStyle name="Normal 9 2 4 2 5 3 2" xfId="14984" xr:uid="{85D6F85B-0413-42C0-9246-12F5FBE4CA7C}"/>
    <cellStyle name="Normal 9 2 4 2 5 4" xfId="10766" xr:uid="{83CF5124-44D0-4211-B258-6AB4B79B9FF4}"/>
    <cellStyle name="Normal 9 2 4 2 6" xfId="2671" xr:uid="{00000000-0005-0000-0000-00006E1F0000}"/>
    <cellStyle name="Normal 9 2 4 2 6 2" xfId="6955" xr:uid="{00000000-0005-0000-0000-00006F1F0000}"/>
    <cellStyle name="Normal 9 2 4 2 6 2 2" xfId="15397" xr:uid="{9E5F09D9-C770-4417-AC77-5359B3D29B85}"/>
    <cellStyle name="Normal 9 2 4 2 6 3" xfId="11179" xr:uid="{A0709976-A868-44FF-A694-3D8D2ED15B3C}"/>
    <cellStyle name="Normal 9 2 4 2 7" xfId="4890" xr:uid="{00000000-0005-0000-0000-0000701F0000}"/>
    <cellStyle name="Normal 9 2 4 2 7 2" xfId="13332" xr:uid="{555A632B-60F4-4570-947C-1CA8E18B1CB1}"/>
    <cellStyle name="Normal 9 2 4 2 8" xfId="9114" xr:uid="{9D9D08E7-5090-4201-82F0-B12F395C36AC}"/>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4DB12D88-25A3-47C4-843A-2A8DDFA1DCB9}"/>
    <cellStyle name="Normal 9 2 4 3 2 3" xfId="11671" xr:uid="{E7728371-6005-4CD1-A087-4F2D30B498D9}"/>
    <cellStyle name="Normal 9 2 4 3 3" xfId="5302" xr:uid="{00000000-0005-0000-0000-0000741F0000}"/>
    <cellStyle name="Normal 9 2 4 3 3 2" xfId="13744" xr:uid="{F91043DE-E36F-4E2F-AE0C-2CB67AAB0D11}"/>
    <cellStyle name="Normal 9 2 4 3 4" xfId="9526" xr:uid="{670DD730-0DA2-49BC-84AC-65D93BB1E16C}"/>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C44A9331-5C66-4411-9327-C9E020B57BB0}"/>
    <cellStyle name="Normal 9 2 4 4 2 3" xfId="12084" xr:uid="{4C4B3630-AD2F-4546-9BBE-365C5678C921}"/>
    <cellStyle name="Normal 9 2 4 4 3" xfId="5715" xr:uid="{00000000-0005-0000-0000-0000781F0000}"/>
    <cellStyle name="Normal 9 2 4 4 3 2" xfId="14157" xr:uid="{B5543CE7-209A-47CA-9E42-18619F51D05A}"/>
    <cellStyle name="Normal 9 2 4 4 4" xfId="9939" xr:uid="{4AE65A73-F4F0-45F3-9682-711C4DA2DAAE}"/>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E540A569-FCC8-4B3D-90FD-03748C90722C}"/>
    <cellStyle name="Normal 9 2 4 5 2 3" xfId="12497" xr:uid="{7D27FE9E-C566-4E8A-B3F7-7BD73F831353}"/>
    <cellStyle name="Normal 9 2 4 5 3" xfId="6128" xr:uid="{00000000-0005-0000-0000-00007C1F0000}"/>
    <cellStyle name="Normal 9 2 4 5 3 2" xfId="14570" xr:uid="{E028DF34-4CE0-420C-80B0-B8D1DE43B8B8}"/>
    <cellStyle name="Normal 9 2 4 5 4" xfId="10352" xr:uid="{4439D0F6-1C83-4CBC-BC86-DE5EF732156B}"/>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16E1C57E-30AE-4286-9531-4A21D818F258}"/>
    <cellStyle name="Normal 9 2 4 6 2 3" xfId="12910" xr:uid="{EE4CA904-73F0-4CEA-AD81-803CF149BA43}"/>
    <cellStyle name="Normal 9 2 4 6 3" xfId="6541" xr:uid="{00000000-0005-0000-0000-0000801F0000}"/>
    <cellStyle name="Normal 9 2 4 6 3 2" xfId="14983" xr:uid="{CC29C90C-4BED-45AF-AAF9-F6E20F095B9F}"/>
    <cellStyle name="Normal 9 2 4 6 4" xfId="10765" xr:uid="{90707E2B-EE81-4F7E-904B-34F0442CBCDC}"/>
    <cellStyle name="Normal 9 2 4 7" xfId="2670" xr:uid="{00000000-0005-0000-0000-0000811F0000}"/>
    <cellStyle name="Normal 9 2 4 7 2" xfId="6954" xr:uid="{00000000-0005-0000-0000-0000821F0000}"/>
    <cellStyle name="Normal 9 2 4 7 2 2" xfId="15396" xr:uid="{6220DD45-8A9E-4038-AD80-3680C2DDCAE1}"/>
    <cellStyle name="Normal 9 2 4 7 3" xfId="11178" xr:uid="{93591882-582E-4B69-A8CF-5F1D7CEEC718}"/>
    <cellStyle name="Normal 9 2 4 8" xfId="4889" xr:uid="{00000000-0005-0000-0000-0000831F0000}"/>
    <cellStyle name="Normal 9 2 4 8 2" xfId="13331" xr:uid="{B28A60CA-7F33-4432-98D0-DFC55180C261}"/>
    <cellStyle name="Normal 9 2 4 9" xfId="9113" xr:uid="{94F58699-203A-4A57-998A-210B7320F585}"/>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11FFC770-E7B7-4E58-9063-E302A4C501A4}"/>
    <cellStyle name="Normal 9 2 5 2 2 3" xfId="11673" xr:uid="{4C660014-B314-497F-A946-B00E00F07547}"/>
    <cellStyle name="Normal 9 2 5 2 3" xfId="5304" xr:uid="{00000000-0005-0000-0000-0000881F0000}"/>
    <cellStyle name="Normal 9 2 5 2 3 2" xfId="13746" xr:uid="{A8590B45-DA75-40A3-95D5-6C140DFD4467}"/>
    <cellStyle name="Normal 9 2 5 2 4" xfId="9528" xr:uid="{A85049EF-85C8-42A0-85AA-AB26C3CCB091}"/>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93A54E34-A456-47C5-B9AD-54E57C57D0D1}"/>
    <cellStyle name="Normal 9 2 5 3 2 3" xfId="12086" xr:uid="{C0887B6B-8EAA-46C4-B670-2F83A36088D5}"/>
    <cellStyle name="Normal 9 2 5 3 3" xfId="5717" xr:uid="{00000000-0005-0000-0000-00008C1F0000}"/>
    <cellStyle name="Normal 9 2 5 3 3 2" xfId="14159" xr:uid="{A3FF3E44-DBF1-47A3-8299-AAC5DBAA4BF7}"/>
    <cellStyle name="Normal 9 2 5 3 4" xfId="9941" xr:uid="{D74EFD46-9B6F-41F6-9A3B-F41227FA3A31}"/>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D71EF14-0686-4546-92FD-E5FE7598FCD7}"/>
    <cellStyle name="Normal 9 2 5 4 2 3" xfId="12499" xr:uid="{BB1E0FE2-AAD2-43C1-88E0-2DD39C344E3E}"/>
    <cellStyle name="Normal 9 2 5 4 3" xfId="6130" xr:uid="{00000000-0005-0000-0000-0000901F0000}"/>
    <cellStyle name="Normal 9 2 5 4 3 2" xfId="14572" xr:uid="{D10DDC21-6CE7-4519-9DFE-B83FCE5D4E05}"/>
    <cellStyle name="Normal 9 2 5 4 4" xfId="10354" xr:uid="{B38FD7A8-FB78-4AC4-AF29-9BD5C2DF64D2}"/>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90B904E8-0588-479F-B349-86B9B8E372A4}"/>
    <cellStyle name="Normal 9 2 5 5 2 3" xfId="12912" xr:uid="{79308E45-4893-49C9-B36B-4387286F6638}"/>
    <cellStyle name="Normal 9 2 5 5 3" xfId="6543" xr:uid="{00000000-0005-0000-0000-0000941F0000}"/>
    <cellStyle name="Normal 9 2 5 5 3 2" xfId="14985" xr:uid="{F9870590-12E8-4D1A-9A9E-0F272868CC8E}"/>
    <cellStyle name="Normal 9 2 5 5 4" xfId="10767" xr:uid="{24CF78DE-B014-46EE-8255-BB782D10EDAC}"/>
    <cellStyle name="Normal 9 2 5 6" xfId="2672" xr:uid="{00000000-0005-0000-0000-0000951F0000}"/>
    <cellStyle name="Normal 9 2 5 6 2" xfId="6956" xr:uid="{00000000-0005-0000-0000-0000961F0000}"/>
    <cellStyle name="Normal 9 2 5 6 2 2" xfId="15398" xr:uid="{D5463F11-09B6-4170-AF4A-B9FBEE266A54}"/>
    <cellStyle name="Normal 9 2 5 6 3" xfId="11180" xr:uid="{94EA3B19-0D22-469F-94DB-FE4521E91307}"/>
    <cellStyle name="Normal 9 2 5 7" xfId="4891" xr:uid="{00000000-0005-0000-0000-0000971F0000}"/>
    <cellStyle name="Normal 9 2 5 7 2" xfId="13333" xr:uid="{0629935C-EBEA-49E3-83F3-786611901DA7}"/>
    <cellStyle name="Normal 9 2 5 8" xfId="9115" xr:uid="{CFCB7D34-CD1B-4666-90E9-CE693EE8A7FE}"/>
    <cellStyle name="Normal 9 2 6" xfId="978" xr:uid="{00000000-0005-0000-0000-0000981F0000}"/>
    <cellStyle name="Normal 9 2 6 2" xfId="3211" xr:uid="{00000000-0005-0000-0000-0000991F0000}"/>
    <cellStyle name="Normal 9 2 6 2 2" xfId="7434" xr:uid="{00000000-0005-0000-0000-00009A1F0000}"/>
    <cellStyle name="Normal 9 2 6 2 2 2" xfId="15876" xr:uid="{0A809605-4B58-479D-A3E0-719928145B0E}"/>
    <cellStyle name="Normal 9 2 6 2 3" xfId="11658" xr:uid="{210576E5-2F54-4E0F-8453-69D60ED0FD5D}"/>
    <cellStyle name="Normal 9 2 6 3" xfId="5289" xr:uid="{00000000-0005-0000-0000-00009B1F0000}"/>
    <cellStyle name="Normal 9 2 6 3 2" xfId="13731" xr:uid="{728358DD-DC00-4E27-91C6-0F9ADE2A929A}"/>
    <cellStyle name="Normal 9 2 6 4" xfId="9513" xr:uid="{8881B1BD-8F25-468D-9A60-E717BA31BD52}"/>
    <cellStyle name="Normal 9 2 7" xfId="1394" xr:uid="{00000000-0005-0000-0000-00009C1F0000}"/>
    <cellStyle name="Normal 9 2 7 2" xfId="3624" xr:uid="{00000000-0005-0000-0000-00009D1F0000}"/>
    <cellStyle name="Normal 9 2 7 2 2" xfId="7847" xr:uid="{00000000-0005-0000-0000-00009E1F0000}"/>
    <cellStyle name="Normal 9 2 7 2 2 2" xfId="16289" xr:uid="{B5CC5B2D-0956-427C-BCB5-A2C2F5F8BCA5}"/>
    <cellStyle name="Normal 9 2 7 2 3" xfId="12071" xr:uid="{DD696A4C-33FE-4D68-9812-F668255A68EB}"/>
    <cellStyle name="Normal 9 2 7 3" xfId="5702" xr:uid="{00000000-0005-0000-0000-00009F1F0000}"/>
    <cellStyle name="Normal 9 2 7 3 2" xfId="14144" xr:uid="{F20B4622-DCF2-4218-91DC-99FF106331F9}"/>
    <cellStyle name="Normal 9 2 7 4" xfId="9926" xr:uid="{BA0890A6-5408-4932-8111-B08F5B484686}"/>
    <cellStyle name="Normal 9 2 8" xfId="1807" xr:uid="{00000000-0005-0000-0000-0000A01F0000}"/>
    <cellStyle name="Normal 9 2 8 2" xfId="4037" xr:uid="{00000000-0005-0000-0000-0000A11F0000}"/>
    <cellStyle name="Normal 9 2 8 2 2" xfId="8260" xr:uid="{00000000-0005-0000-0000-0000A21F0000}"/>
    <cellStyle name="Normal 9 2 8 2 2 2" xfId="16702" xr:uid="{5C0F6BFD-B542-491C-8EA7-0DF6A5223DF8}"/>
    <cellStyle name="Normal 9 2 8 2 3" xfId="12484" xr:uid="{FB664FA4-ED00-455C-91C9-7BC543EB4A57}"/>
    <cellStyle name="Normal 9 2 8 3" xfId="6115" xr:uid="{00000000-0005-0000-0000-0000A31F0000}"/>
    <cellStyle name="Normal 9 2 8 3 2" xfId="14557" xr:uid="{5B011C70-F9CB-4AB3-9841-D75D9E8133A8}"/>
    <cellStyle name="Normal 9 2 8 4" xfId="10339" xr:uid="{C2698C41-6FBA-4019-8D18-089E9A6AB19C}"/>
    <cellStyle name="Normal 9 2 9" xfId="2221" xr:uid="{00000000-0005-0000-0000-0000A41F0000}"/>
    <cellStyle name="Normal 9 2 9 2" xfId="4450" xr:uid="{00000000-0005-0000-0000-0000A51F0000}"/>
    <cellStyle name="Normal 9 2 9 2 2" xfId="8673" xr:uid="{00000000-0005-0000-0000-0000A61F0000}"/>
    <cellStyle name="Normal 9 2 9 2 2 2" xfId="17115" xr:uid="{F39EC679-6524-49A4-A7B1-B64BA323DC88}"/>
    <cellStyle name="Normal 9 2 9 2 3" xfId="12897" xr:uid="{340B5B26-AF10-4C08-A033-7FCC99319FFB}"/>
    <cellStyle name="Normal 9 2 9 3" xfId="6528" xr:uid="{00000000-0005-0000-0000-0000A71F0000}"/>
    <cellStyle name="Normal 9 2 9 3 2" xfId="14970" xr:uid="{851DFCEA-F129-4DEB-9F58-BDBB850AECDB}"/>
    <cellStyle name="Normal 9 2 9 4" xfId="10752" xr:uid="{088520E5-E81B-42B7-9F98-3C4CB0E46330}"/>
    <cellStyle name="Normal 9 3" xfId="527" xr:uid="{00000000-0005-0000-0000-0000A81F0000}"/>
    <cellStyle name="Normal 9 3 10" xfId="4892" xr:uid="{00000000-0005-0000-0000-0000A91F0000}"/>
    <cellStyle name="Normal 9 3 10 2" xfId="13334" xr:uid="{BF9F0B6A-54E0-4735-849A-BAE4ADD68DDF}"/>
    <cellStyle name="Normal 9 3 11" xfId="9116" xr:uid="{B3404804-B644-410C-AB66-1223FE53C2B3}"/>
    <cellStyle name="Normal 9 3 2" xfId="528" xr:uid="{00000000-0005-0000-0000-0000AA1F0000}"/>
    <cellStyle name="Normal 9 3 2 10" xfId="9117" xr:uid="{A04113F1-0BA8-4E77-995C-913FDF1F1A33}"/>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2F7E830B-B9B0-4221-8D4D-76F08D350C3B}"/>
    <cellStyle name="Normal 9 3 2 2 2 2 2 3" xfId="11677" xr:uid="{2E184B91-2BFF-4A81-BF45-2FE85DE328EC}"/>
    <cellStyle name="Normal 9 3 2 2 2 2 3" xfId="5308" xr:uid="{00000000-0005-0000-0000-0000B01F0000}"/>
    <cellStyle name="Normal 9 3 2 2 2 2 3 2" xfId="13750" xr:uid="{1E006B61-2422-4643-AC7B-9DC263994376}"/>
    <cellStyle name="Normal 9 3 2 2 2 2 4" xfId="9532" xr:uid="{B031FC3E-B91C-458C-9EB2-3BF3D8BBE34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835157A5-2CAD-4EF3-9023-80A3F5BDFB7D}"/>
    <cellStyle name="Normal 9 3 2 2 2 3 2 3" xfId="12090" xr:uid="{D50FD279-56F0-4094-81C2-80713A3503A1}"/>
    <cellStyle name="Normal 9 3 2 2 2 3 3" xfId="5721" xr:uid="{00000000-0005-0000-0000-0000B41F0000}"/>
    <cellStyle name="Normal 9 3 2 2 2 3 3 2" xfId="14163" xr:uid="{7FCC26F5-A247-4161-BDF6-27AF538D46D9}"/>
    <cellStyle name="Normal 9 3 2 2 2 3 4" xfId="9945" xr:uid="{16118FF1-E626-4EEC-8CBC-69D01923215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DB3CAF08-3F2E-4313-832B-2A074D3A9D3A}"/>
    <cellStyle name="Normal 9 3 2 2 2 4 2 3" xfId="12503" xr:uid="{5FFA3F62-3EC9-4186-9852-AB11DB907C24}"/>
    <cellStyle name="Normal 9 3 2 2 2 4 3" xfId="6134" xr:uid="{00000000-0005-0000-0000-0000B81F0000}"/>
    <cellStyle name="Normal 9 3 2 2 2 4 3 2" xfId="14576" xr:uid="{8866A9FC-5968-4D10-A624-E3AC4FA58A66}"/>
    <cellStyle name="Normal 9 3 2 2 2 4 4" xfId="10358" xr:uid="{81D1D8BF-4C18-4A0A-90D9-026C09502F32}"/>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F0978AA1-3A63-4A95-B2C8-C9091B90BD44}"/>
    <cellStyle name="Normal 9 3 2 2 2 5 2 3" xfId="12916" xr:uid="{32A781DD-3E4A-4656-A025-98E52BF45269}"/>
    <cellStyle name="Normal 9 3 2 2 2 5 3" xfId="6547" xr:uid="{00000000-0005-0000-0000-0000BC1F0000}"/>
    <cellStyle name="Normal 9 3 2 2 2 5 3 2" xfId="14989" xr:uid="{DA312D79-56BE-4D12-886B-69F256F2CEA4}"/>
    <cellStyle name="Normal 9 3 2 2 2 5 4" xfId="10771" xr:uid="{2EBF8C36-BA66-45F6-8CE2-2921E77BB6B4}"/>
    <cellStyle name="Normal 9 3 2 2 2 6" xfId="2676" xr:uid="{00000000-0005-0000-0000-0000BD1F0000}"/>
    <cellStyle name="Normal 9 3 2 2 2 6 2" xfId="6960" xr:uid="{00000000-0005-0000-0000-0000BE1F0000}"/>
    <cellStyle name="Normal 9 3 2 2 2 6 2 2" xfId="15402" xr:uid="{E5A5235C-7FC9-4D7D-800F-BCED8817B502}"/>
    <cellStyle name="Normal 9 3 2 2 2 6 3" xfId="11184" xr:uid="{6C2DE4F2-4016-440B-9A49-B834588FA01D}"/>
    <cellStyle name="Normal 9 3 2 2 2 7" xfId="4895" xr:uid="{00000000-0005-0000-0000-0000BF1F0000}"/>
    <cellStyle name="Normal 9 3 2 2 2 7 2" xfId="13337" xr:uid="{64E7F555-E069-4293-B4EB-03FB19BDCAB6}"/>
    <cellStyle name="Normal 9 3 2 2 2 8" xfId="9119" xr:uid="{4330E7FA-9200-4266-8621-B5F16D7256E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96137A3F-58CA-4181-A53A-02663CE81835}"/>
    <cellStyle name="Normal 9 3 2 2 3 2 3" xfId="11676" xr:uid="{0CD72A1A-2DD7-4734-B810-ED870A24E78A}"/>
    <cellStyle name="Normal 9 3 2 2 3 3" xfId="5307" xr:uid="{00000000-0005-0000-0000-0000C31F0000}"/>
    <cellStyle name="Normal 9 3 2 2 3 3 2" xfId="13749" xr:uid="{0DA09BD5-D0D8-401E-88E3-AC4ADDDFEF46}"/>
    <cellStyle name="Normal 9 3 2 2 3 4" xfId="9531" xr:uid="{3D669A17-48E5-43C2-8A29-4F477FA87C6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34DCB1CB-4942-41D2-978A-4071900B984B}"/>
    <cellStyle name="Normal 9 3 2 2 4 2 3" xfId="12089" xr:uid="{2627BB29-786E-438A-9071-99AF87FC23DA}"/>
    <cellStyle name="Normal 9 3 2 2 4 3" xfId="5720" xr:uid="{00000000-0005-0000-0000-0000C71F0000}"/>
    <cellStyle name="Normal 9 3 2 2 4 3 2" xfId="14162" xr:uid="{944E10A2-60E0-490D-8571-7C8ECF141D20}"/>
    <cellStyle name="Normal 9 3 2 2 4 4" xfId="9944" xr:uid="{5D80F95E-39E0-4FAE-9025-04B170EB2345}"/>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ADB4B16A-B43C-44A1-979E-3D64B0932802}"/>
    <cellStyle name="Normal 9 3 2 2 5 2 3" xfId="12502" xr:uid="{72088582-CA04-4946-9189-61FD06301F75}"/>
    <cellStyle name="Normal 9 3 2 2 5 3" xfId="6133" xr:uid="{00000000-0005-0000-0000-0000CB1F0000}"/>
    <cellStyle name="Normal 9 3 2 2 5 3 2" xfId="14575" xr:uid="{6A3B945D-6BEB-41FD-8D96-EF736C33A4B2}"/>
    <cellStyle name="Normal 9 3 2 2 5 4" xfId="10357" xr:uid="{B81C72AF-879F-4A57-9559-18603D96328D}"/>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FFD78A2D-A40F-4B6B-BCFB-6DE61C9D7803}"/>
    <cellStyle name="Normal 9 3 2 2 6 2 3" xfId="12915" xr:uid="{1C3AA5AD-2E3B-4A1F-B2BC-B9C168005A01}"/>
    <cellStyle name="Normal 9 3 2 2 6 3" xfId="6546" xr:uid="{00000000-0005-0000-0000-0000CF1F0000}"/>
    <cellStyle name="Normal 9 3 2 2 6 3 2" xfId="14988" xr:uid="{AF9DC50B-BEAD-498E-86C0-BEAD71D4AB4D}"/>
    <cellStyle name="Normal 9 3 2 2 6 4" xfId="10770" xr:uid="{B36EF895-E4FC-40F2-82E5-0489F9C46D96}"/>
    <cellStyle name="Normal 9 3 2 2 7" xfId="2675" xr:uid="{00000000-0005-0000-0000-0000D01F0000}"/>
    <cellStyle name="Normal 9 3 2 2 7 2" xfId="6959" xr:uid="{00000000-0005-0000-0000-0000D11F0000}"/>
    <cellStyle name="Normal 9 3 2 2 7 2 2" xfId="15401" xr:uid="{254E1FC5-1082-493C-B9BE-F3ABCAA3CBCF}"/>
    <cellStyle name="Normal 9 3 2 2 7 3" xfId="11183" xr:uid="{4E9F35A1-CA88-4142-811C-129C75840BB9}"/>
    <cellStyle name="Normal 9 3 2 2 8" xfId="4894" xr:uid="{00000000-0005-0000-0000-0000D21F0000}"/>
    <cellStyle name="Normal 9 3 2 2 8 2" xfId="13336" xr:uid="{C79FAF90-FEE1-4901-A0D4-1D963559DAF3}"/>
    <cellStyle name="Normal 9 3 2 2 9" xfId="9118" xr:uid="{137BD006-550B-49B0-A22C-7D7687AB6B76}"/>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E6C32758-2E26-4AAE-B6E2-CBFE512E70D9}"/>
    <cellStyle name="Normal 9 3 2 3 2 2 3" xfId="11678" xr:uid="{7D469120-293A-4F21-8398-332EC65DC046}"/>
    <cellStyle name="Normal 9 3 2 3 2 3" xfId="5309" xr:uid="{00000000-0005-0000-0000-0000D71F0000}"/>
    <cellStyle name="Normal 9 3 2 3 2 3 2" xfId="13751" xr:uid="{0F078F0F-F4C2-49BD-B546-51BB3E705889}"/>
    <cellStyle name="Normal 9 3 2 3 2 4" xfId="9533" xr:uid="{E1FCC95F-4514-4364-AFC7-379CFC67992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4E0681B5-3A92-4E9A-82F9-ACA36AFD14C1}"/>
    <cellStyle name="Normal 9 3 2 3 3 2 3" xfId="12091" xr:uid="{911D581C-DBA6-420E-A2BE-0551BFADCE75}"/>
    <cellStyle name="Normal 9 3 2 3 3 3" xfId="5722" xr:uid="{00000000-0005-0000-0000-0000DB1F0000}"/>
    <cellStyle name="Normal 9 3 2 3 3 3 2" xfId="14164" xr:uid="{4D417FAB-976E-434C-A1A9-8DB164D9844C}"/>
    <cellStyle name="Normal 9 3 2 3 3 4" xfId="9946" xr:uid="{50A04B24-7A1A-4ED2-B021-20087D22DA74}"/>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69A948E5-213C-4FD6-818C-72FB86093029}"/>
    <cellStyle name="Normal 9 3 2 3 4 2 3" xfId="12504" xr:uid="{BED3AE11-9CD0-43C6-AC2A-440CBE3940FF}"/>
    <cellStyle name="Normal 9 3 2 3 4 3" xfId="6135" xr:uid="{00000000-0005-0000-0000-0000DF1F0000}"/>
    <cellStyle name="Normal 9 3 2 3 4 3 2" xfId="14577" xr:uid="{EC2521EC-E673-497C-AF59-7B03519740C3}"/>
    <cellStyle name="Normal 9 3 2 3 4 4" xfId="10359" xr:uid="{698152BB-5C3D-4A1E-B8A3-935D803CD02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2F8A4035-ECFA-424D-AF7E-3B0E0FD0BE20}"/>
    <cellStyle name="Normal 9 3 2 3 5 2 3" xfId="12917" xr:uid="{EE3DCCCA-F3D2-410F-97EA-038EC60D2C3D}"/>
    <cellStyle name="Normal 9 3 2 3 5 3" xfId="6548" xr:uid="{00000000-0005-0000-0000-0000E31F0000}"/>
    <cellStyle name="Normal 9 3 2 3 5 3 2" xfId="14990" xr:uid="{B8CD073F-21EA-46E4-80EC-1C643F0C392B}"/>
    <cellStyle name="Normal 9 3 2 3 5 4" xfId="10772" xr:uid="{E94EC57C-3FEE-47C2-87DA-40F417F22475}"/>
    <cellStyle name="Normal 9 3 2 3 6" xfId="2677" xr:uid="{00000000-0005-0000-0000-0000E41F0000}"/>
    <cellStyle name="Normal 9 3 2 3 6 2" xfId="6961" xr:uid="{00000000-0005-0000-0000-0000E51F0000}"/>
    <cellStyle name="Normal 9 3 2 3 6 2 2" xfId="15403" xr:uid="{D3E4FF39-3095-41DB-AF97-E56C13E77E8C}"/>
    <cellStyle name="Normal 9 3 2 3 6 3" xfId="11185" xr:uid="{3F35963C-8961-401D-BD8C-58165C1BABE4}"/>
    <cellStyle name="Normal 9 3 2 3 7" xfId="4896" xr:uid="{00000000-0005-0000-0000-0000E61F0000}"/>
    <cellStyle name="Normal 9 3 2 3 7 2" xfId="13338" xr:uid="{7AB4B6B4-69E4-4E8D-B2EC-52B2BCD4442F}"/>
    <cellStyle name="Normal 9 3 2 3 8" xfId="9120" xr:uid="{94F4A494-218D-4D82-B52D-E52A46EEC2B4}"/>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5413DA58-85B7-400A-917A-4BA41B85EF4E}"/>
    <cellStyle name="Normal 9 3 2 4 2 3" xfId="11675" xr:uid="{C4ED4E5E-4D2A-4B2E-9F17-E9CE5DDCE90C}"/>
    <cellStyle name="Normal 9 3 2 4 3" xfId="5306" xr:uid="{00000000-0005-0000-0000-0000EA1F0000}"/>
    <cellStyle name="Normal 9 3 2 4 3 2" xfId="13748" xr:uid="{EA084DBD-764B-415C-8554-3E4B5A5FFB91}"/>
    <cellStyle name="Normal 9 3 2 4 4" xfId="9530" xr:uid="{D0644EF9-3E12-4A35-B939-17C5C2FDB53B}"/>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E73C6929-A779-4885-A164-AB49AB7A2B8C}"/>
    <cellStyle name="Normal 9 3 2 5 2 3" xfId="12088" xr:uid="{B5640D54-B957-4186-887C-3078F688393F}"/>
    <cellStyle name="Normal 9 3 2 5 3" xfId="5719" xr:uid="{00000000-0005-0000-0000-0000EE1F0000}"/>
    <cellStyle name="Normal 9 3 2 5 3 2" xfId="14161" xr:uid="{5DF37376-2B48-417B-B3FF-A8A2053031CE}"/>
    <cellStyle name="Normal 9 3 2 5 4" xfId="9943" xr:uid="{8B88FC7B-488C-406C-A279-E07AF35C3A09}"/>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D9DF6E67-C079-4F6A-8B9F-F56D2DC1CE48}"/>
    <cellStyle name="Normal 9 3 2 6 2 3" xfId="12501" xr:uid="{7E5B9059-FE4A-48D3-AD6B-E071552E9905}"/>
    <cellStyle name="Normal 9 3 2 6 3" xfId="6132" xr:uid="{00000000-0005-0000-0000-0000F21F0000}"/>
    <cellStyle name="Normal 9 3 2 6 3 2" xfId="14574" xr:uid="{93A2380A-9166-494B-9219-8FFB3E5AB278}"/>
    <cellStyle name="Normal 9 3 2 6 4" xfId="10356" xr:uid="{252538DC-B18B-4CC5-AA18-344A043AEF80}"/>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1E5D7579-A26F-41F2-A837-7B14A83A2DD5}"/>
    <cellStyle name="Normal 9 3 2 7 2 3" xfId="12914" xr:uid="{FB132EB8-19BA-4488-BE19-852CAD825D4B}"/>
    <cellStyle name="Normal 9 3 2 7 3" xfId="6545" xr:uid="{00000000-0005-0000-0000-0000F61F0000}"/>
    <cellStyle name="Normal 9 3 2 7 3 2" xfId="14987" xr:uid="{07B9DC77-9F08-40BE-B4F1-BCF040F47E71}"/>
    <cellStyle name="Normal 9 3 2 7 4" xfId="10769" xr:uid="{06C5C797-50AC-44B1-BAB2-EF7CD8D31FA6}"/>
    <cellStyle name="Normal 9 3 2 8" xfId="2674" xr:uid="{00000000-0005-0000-0000-0000F71F0000}"/>
    <cellStyle name="Normal 9 3 2 8 2" xfId="6958" xr:uid="{00000000-0005-0000-0000-0000F81F0000}"/>
    <cellStyle name="Normal 9 3 2 8 2 2" xfId="15400" xr:uid="{85101487-3A06-4ADA-B59A-2BFB32EDC976}"/>
    <cellStyle name="Normal 9 3 2 8 3" xfId="11182" xr:uid="{B7C6EC3A-0BD9-4266-B815-D36018931CB3}"/>
    <cellStyle name="Normal 9 3 2 9" xfId="4893" xr:uid="{00000000-0005-0000-0000-0000F91F0000}"/>
    <cellStyle name="Normal 9 3 2 9 2" xfId="13335" xr:uid="{6293E2FA-26E1-4DDD-8E28-890B6E1CC85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E8EA68CF-AC49-4712-B7FB-FC4B817A2E89}"/>
    <cellStyle name="Normal 9 3 3 2 2 2 3" xfId="11680" xr:uid="{00C9BA53-BB0A-4C38-BCC9-C987441382A3}"/>
    <cellStyle name="Normal 9 3 3 2 2 3" xfId="5311" xr:uid="{00000000-0005-0000-0000-0000FF1F0000}"/>
    <cellStyle name="Normal 9 3 3 2 2 3 2" xfId="13753" xr:uid="{8EE5926A-BF39-4717-AF1C-6E416B71574F}"/>
    <cellStyle name="Normal 9 3 3 2 2 4" xfId="9535" xr:uid="{E93CB97A-9C00-41AC-BD22-B54128B6D27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03508299-B7FD-42AA-A5E4-1872B9F81E18}"/>
    <cellStyle name="Normal 9 3 3 2 3 2 3" xfId="12093" xr:uid="{F64AB63F-FC72-4CC5-AA83-E56EE00052FA}"/>
    <cellStyle name="Normal 9 3 3 2 3 3" xfId="5724" xr:uid="{00000000-0005-0000-0000-000003200000}"/>
    <cellStyle name="Normal 9 3 3 2 3 3 2" xfId="14166" xr:uid="{90EBF5F7-AC77-4551-85F5-ED9BA03A9A34}"/>
    <cellStyle name="Normal 9 3 3 2 3 4" xfId="9948" xr:uid="{FDD9A4E0-575E-47BE-8900-AFAEB7D06631}"/>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4B4F61AB-BED3-49EF-841B-DD21D510057C}"/>
    <cellStyle name="Normal 9 3 3 2 4 2 3" xfId="12506" xr:uid="{3E1791B9-2353-434D-BA76-3EFF78399016}"/>
    <cellStyle name="Normal 9 3 3 2 4 3" xfId="6137" xr:uid="{00000000-0005-0000-0000-000007200000}"/>
    <cellStyle name="Normal 9 3 3 2 4 3 2" xfId="14579" xr:uid="{47DB35FD-903C-48AE-BC67-22B27767C76D}"/>
    <cellStyle name="Normal 9 3 3 2 4 4" xfId="10361" xr:uid="{ECD83581-8068-48E5-B5EC-F8F4CBB8F937}"/>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64B2674F-7EB1-4267-8B62-D6EEFFCBAFFA}"/>
    <cellStyle name="Normal 9 3 3 2 5 2 3" xfId="12919" xr:uid="{A3B8D599-F904-4ACF-890E-F5CDB6E0DD69}"/>
    <cellStyle name="Normal 9 3 3 2 5 3" xfId="6550" xr:uid="{00000000-0005-0000-0000-00000B200000}"/>
    <cellStyle name="Normal 9 3 3 2 5 3 2" xfId="14992" xr:uid="{5968A4F4-4C99-43F1-9033-30009E169D61}"/>
    <cellStyle name="Normal 9 3 3 2 5 4" xfId="10774" xr:uid="{68D265F4-8B28-47D3-A02E-B39697BE6A2B}"/>
    <cellStyle name="Normal 9 3 3 2 6" xfId="2679" xr:uid="{00000000-0005-0000-0000-00000C200000}"/>
    <cellStyle name="Normal 9 3 3 2 6 2" xfId="6963" xr:uid="{00000000-0005-0000-0000-00000D200000}"/>
    <cellStyle name="Normal 9 3 3 2 6 2 2" xfId="15405" xr:uid="{343FA6CC-A56C-4BE9-9A58-26F0BD129F0E}"/>
    <cellStyle name="Normal 9 3 3 2 6 3" xfId="11187" xr:uid="{A743B9D3-5B57-4380-8F95-58B8A2E34E53}"/>
    <cellStyle name="Normal 9 3 3 2 7" xfId="4898" xr:uid="{00000000-0005-0000-0000-00000E200000}"/>
    <cellStyle name="Normal 9 3 3 2 7 2" xfId="13340" xr:uid="{A3644CDA-FB20-4A04-B5D2-FD4EFC4556BA}"/>
    <cellStyle name="Normal 9 3 3 2 8" xfId="9122" xr:uid="{8CB7EDFF-FB27-4F6C-9B52-1C798579C31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1ACAC4DE-39A0-44E0-BD91-36089E191AB7}"/>
    <cellStyle name="Normal 9 3 3 3 2 3" xfId="11679" xr:uid="{91C7A2AB-607A-4F58-96E3-8D17132E0D8D}"/>
    <cellStyle name="Normal 9 3 3 3 3" xfId="5310" xr:uid="{00000000-0005-0000-0000-000012200000}"/>
    <cellStyle name="Normal 9 3 3 3 3 2" xfId="13752" xr:uid="{2CA39950-B76D-4462-9EC9-C462C24AEA37}"/>
    <cellStyle name="Normal 9 3 3 3 4" xfId="9534" xr:uid="{ABB2F698-97A0-4879-B702-858C85A45D14}"/>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0487341F-FF77-4102-88F2-D14A590B660D}"/>
    <cellStyle name="Normal 9 3 3 4 2 3" xfId="12092" xr:uid="{04C77336-91AD-4989-96C9-8A21A2B3A28E}"/>
    <cellStyle name="Normal 9 3 3 4 3" xfId="5723" xr:uid="{00000000-0005-0000-0000-000016200000}"/>
    <cellStyle name="Normal 9 3 3 4 3 2" xfId="14165" xr:uid="{C80E450C-939D-4B09-AA4B-8467F700E415}"/>
    <cellStyle name="Normal 9 3 3 4 4" xfId="9947" xr:uid="{B2BEB7B6-D051-4F5D-BCFC-0C14CF14DA68}"/>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5229B0F-E14E-40E0-9A14-D865A5890F0D}"/>
    <cellStyle name="Normal 9 3 3 5 2 3" xfId="12505" xr:uid="{AA6FCF48-4FE5-455E-B860-BFE0FCA5C953}"/>
    <cellStyle name="Normal 9 3 3 5 3" xfId="6136" xr:uid="{00000000-0005-0000-0000-00001A200000}"/>
    <cellStyle name="Normal 9 3 3 5 3 2" xfId="14578" xr:uid="{92219CB0-6A5A-4F49-B5E9-E53DC06F0C5C}"/>
    <cellStyle name="Normal 9 3 3 5 4" xfId="10360" xr:uid="{840702E1-5B5D-4F9D-B3AD-10BC0CBFFC68}"/>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042D03D0-01A6-4E27-B2F0-8961854311AE}"/>
    <cellStyle name="Normal 9 3 3 6 2 3" xfId="12918" xr:uid="{464636E5-E08C-4367-A037-2DD7AA88D71F}"/>
    <cellStyle name="Normal 9 3 3 6 3" xfId="6549" xr:uid="{00000000-0005-0000-0000-00001E200000}"/>
    <cellStyle name="Normal 9 3 3 6 3 2" xfId="14991" xr:uid="{46D4A595-74F9-4BF6-BBAA-041229B2E219}"/>
    <cellStyle name="Normal 9 3 3 6 4" xfId="10773" xr:uid="{E98CB893-45C1-4BFE-8F4D-97E98BF1DE8D}"/>
    <cellStyle name="Normal 9 3 3 7" xfId="2678" xr:uid="{00000000-0005-0000-0000-00001F200000}"/>
    <cellStyle name="Normal 9 3 3 7 2" xfId="6962" xr:uid="{00000000-0005-0000-0000-000020200000}"/>
    <cellStyle name="Normal 9 3 3 7 2 2" xfId="15404" xr:uid="{03682280-D062-4054-A041-074E2E6CDC82}"/>
    <cellStyle name="Normal 9 3 3 7 3" xfId="11186" xr:uid="{B4E36DED-4605-49C5-9834-0CB8D4FEF9F7}"/>
    <cellStyle name="Normal 9 3 3 8" xfId="4897" xr:uid="{00000000-0005-0000-0000-000021200000}"/>
    <cellStyle name="Normal 9 3 3 8 2" xfId="13339" xr:uid="{6FE0C38E-55F1-40C1-ADFB-183C4F51F367}"/>
    <cellStyle name="Normal 9 3 3 9" xfId="9121" xr:uid="{178F4633-21B8-4656-81A0-7A8C19DDE6E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123E92C9-836B-4457-9029-84E187813DF9}"/>
    <cellStyle name="Normal 9 3 4 2 2 3" xfId="11681" xr:uid="{551487D9-533E-4529-8686-1B6DAD220491}"/>
    <cellStyle name="Normal 9 3 4 2 3" xfId="5312" xr:uid="{00000000-0005-0000-0000-000026200000}"/>
    <cellStyle name="Normal 9 3 4 2 3 2" xfId="13754" xr:uid="{F0637DBE-20B1-4556-A82B-6603D127A133}"/>
    <cellStyle name="Normal 9 3 4 2 4" xfId="9536" xr:uid="{301FCA05-2512-444D-8151-FA57CAECD1FE}"/>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C322A920-3285-47A1-B2A5-82A195980B67}"/>
    <cellStyle name="Normal 9 3 4 3 2 3" xfId="12094" xr:uid="{1F42C999-9EF5-41C6-9F72-4229152604F6}"/>
    <cellStyle name="Normal 9 3 4 3 3" xfId="5725" xr:uid="{00000000-0005-0000-0000-00002A200000}"/>
    <cellStyle name="Normal 9 3 4 3 3 2" xfId="14167" xr:uid="{B06BF457-0D9B-4D4A-B3B0-CB9221AA4B30}"/>
    <cellStyle name="Normal 9 3 4 3 4" xfId="9949" xr:uid="{40568B4D-3982-4515-809A-E0216789C732}"/>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C4476767-E454-43DC-A6C8-FDC05D482EDF}"/>
    <cellStyle name="Normal 9 3 4 4 2 3" xfId="12507" xr:uid="{D4936EC2-7F18-402E-9C04-1A88DBD072AC}"/>
    <cellStyle name="Normal 9 3 4 4 3" xfId="6138" xr:uid="{00000000-0005-0000-0000-00002E200000}"/>
    <cellStyle name="Normal 9 3 4 4 3 2" xfId="14580" xr:uid="{5BC4588F-903E-40A3-8335-3E06FAD6BA73}"/>
    <cellStyle name="Normal 9 3 4 4 4" xfId="10362" xr:uid="{E9982638-3CAD-49F5-AC78-2D55150360F3}"/>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CC1EAC93-F3F4-4181-9202-7494BD8F2C9F}"/>
    <cellStyle name="Normal 9 3 4 5 2 3" xfId="12920" xr:uid="{9AEF31C0-D9DD-455E-8651-B97277EB5441}"/>
    <cellStyle name="Normal 9 3 4 5 3" xfId="6551" xr:uid="{00000000-0005-0000-0000-000032200000}"/>
    <cellStyle name="Normal 9 3 4 5 3 2" xfId="14993" xr:uid="{3DE5DDE4-733F-4870-8747-4CB00E856C22}"/>
    <cellStyle name="Normal 9 3 4 5 4" xfId="10775" xr:uid="{4689FFFA-5FF9-4334-B5F4-C1670CE0E05C}"/>
    <cellStyle name="Normal 9 3 4 6" xfId="2680" xr:uid="{00000000-0005-0000-0000-000033200000}"/>
    <cellStyle name="Normal 9 3 4 6 2" xfId="6964" xr:uid="{00000000-0005-0000-0000-000034200000}"/>
    <cellStyle name="Normal 9 3 4 6 2 2" xfId="15406" xr:uid="{31467B1A-75AD-4FAF-A415-375352E6D876}"/>
    <cellStyle name="Normal 9 3 4 6 3" xfId="11188" xr:uid="{D65332FF-2968-4C80-AA03-3D77DBD44E91}"/>
    <cellStyle name="Normal 9 3 4 7" xfId="4899" xr:uid="{00000000-0005-0000-0000-000035200000}"/>
    <cellStyle name="Normal 9 3 4 7 2" xfId="13341" xr:uid="{881E88E4-9571-4DC2-B9C4-9806E8F22AE1}"/>
    <cellStyle name="Normal 9 3 4 8" xfId="9123" xr:uid="{8626B3F4-16D3-4A78-B610-6D041C8F7A15}"/>
    <cellStyle name="Normal 9 3 5" xfId="994" xr:uid="{00000000-0005-0000-0000-000036200000}"/>
    <cellStyle name="Normal 9 3 5 2" xfId="3227" xr:uid="{00000000-0005-0000-0000-000037200000}"/>
    <cellStyle name="Normal 9 3 5 2 2" xfId="7450" xr:uid="{00000000-0005-0000-0000-000038200000}"/>
    <cellStyle name="Normal 9 3 5 2 2 2" xfId="15892" xr:uid="{B668B5AD-796B-4DA7-8E5D-F98EEA37E98B}"/>
    <cellStyle name="Normal 9 3 5 2 3" xfId="11674" xr:uid="{EEE6F889-E66C-48DD-BAE1-5C5E9D63530A}"/>
    <cellStyle name="Normal 9 3 5 3" xfId="5305" xr:uid="{00000000-0005-0000-0000-000039200000}"/>
    <cellStyle name="Normal 9 3 5 3 2" xfId="13747" xr:uid="{B4349575-9E6E-4FF9-897D-3302EE713E82}"/>
    <cellStyle name="Normal 9 3 5 4" xfId="9529" xr:uid="{239DE877-C04C-4A69-AC8E-771AB16B4EC8}"/>
    <cellStyle name="Normal 9 3 6" xfId="1410" xr:uid="{00000000-0005-0000-0000-00003A200000}"/>
    <cellStyle name="Normal 9 3 6 2" xfId="3640" xr:uid="{00000000-0005-0000-0000-00003B200000}"/>
    <cellStyle name="Normal 9 3 6 2 2" xfId="7863" xr:uid="{00000000-0005-0000-0000-00003C200000}"/>
    <cellStyle name="Normal 9 3 6 2 2 2" xfId="16305" xr:uid="{1AC17E1E-DC11-4E6A-B9B3-AC9D8C0D026A}"/>
    <cellStyle name="Normal 9 3 6 2 3" xfId="12087" xr:uid="{4558F7EE-F0B1-472A-90FF-D635A3C55FC4}"/>
    <cellStyle name="Normal 9 3 6 3" xfId="5718" xr:uid="{00000000-0005-0000-0000-00003D200000}"/>
    <cellStyle name="Normal 9 3 6 3 2" xfId="14160" xr:uid="{AA59329D-5FAE-472B-B891-BDB34A5A77E1}"/>
    <cellStyle name="Normal 9 3 6 4" xfId="9942" xr:uid="{D43936B8-D371-4665-8883-C44C7779FA3E}"/>
    <cellStyle name="Normal 9 3 7" xfId="1823" xr:uid="{00000000-0005-0000-0000-00003E200000}"/>
    <cellStyle name="Normal 9 3 7 2" xfId="4053" xr:uid="{00000000-0005-0000-0000-00003F200000}"/>
    <cellStyle name="Normal 9 3 7 2 2" xfId="8276" xr:uid="{00000000-0005-0000-0000-000040200000}"/>
    <cellStyle name="Normal 9 3 7 2 2 2" xfId="16718" xr:uid="{544DB580-EDB5-4F6F-A572-B4EFEE1D76C7}"/>
    <cellStyle name="Normal 9 3 7 2 3" xfId="12500" xr:uid="{21F5F77B-6715-4B87-95ED-62BDCE0DEF92}"/>
    <cellStyle name="Normal 9 3 7 3" xfId="6131" xr:uid="{00000000-0005-0000-0000-000041200000}"/>
    <cellStyle name="Normal 9 3 7 3 2" xfId="14573" xr:uid="{C409A6C1-1142-4288-93C0-8B1964B0B649}"/>
    <cellStyle name="Normal 9 3 7 4" xfId="10355" xr:uid="{0508112B-613D-4D86-97ED-AE2463DEF166}"/>
    <cellStyle name="Normal 9 3 8" xfId="2237" xr:uid="{00000000-0005-0000-0000-000042200000}"/>
    <cellStyle name="Normal 9 3 8 2" xfId="4466" xr:uid="{00000000-0005-0000-0000-000043200000}"/>
    <cellStyle name="Normal 9 3 8 2 2" xfId="8689" xr:uid="{00000000-0005-0000-0000-000044200000}"/>
    <cellStyle name="Normal 9 3 8 2 2 2" xfId="17131" xr:uid="{3658C0F4-D979-487C-9E01-8BB9210A8769}"/>
    <cellStyle name="Normal 9 3 8 2 3" xfId="12913" xr:uid="{6CC961C7-D1DC-426B-B4A0-9593E0792C76}"/>
    <cellStyle name="Normal 9 3 8 3" xfId="6544" xr:uid="{00000000-0005-0000-0000-000045200000}"/>
    <cellStyle name="Normal 9 3 8 3 2" xfId="14986" xr:uid="{75BAA2E9-523F-435B-B58E-EF45B780EC41}"/>
    <cellStyle name="Normal 9 3 8 4" xfId="10768" xr:uid="{3CD9B967-174E-4C6C-9547-42480D05BD44}"/>
    <cellStyle name="Normal 9 3 9" xfId="2673" xr:uid="{00000000-0005-0000-0000-000046200000}"/>
    <cellStyle name="Normal 9 3 9 2" xfId="6957" xr:uid="{00000000-0005-0000-0000-000047200000}"/>
    <cellStyle name="Normal 9 3 9 2 2" xfId="15399" xr:uid="{48993AFF-2A25-4FC1-8992-734428827B3B}"/>
    <cellStyle name="Normal 9 3 9 3" xfId="11181" xr:uid="{6D7E0BBE-CCC7-4AEC-B863-E7C8CF4D36A1}"/>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8ABDF849-9EE2-4921-A029-C4D36D35D21D}"/>
    <cellStyle name="Normal 9 5 2 2 2 3" xfId="11683" xr:uid="{D457F62A-DD79-4D2B-AB7A-45B942882B82}"/>
    <cellStyle name="Normal 9 5 2 2 3" xfId="5314" xr:uid="{00000000-0005-0000-0000-00004F200000}"/>
    <cellStyle name="Normal 9 5 2 2 3 2" xfId="13756" xr:uid="{97AB1004-84E9-4C01-AC56-31D56E2327EE}"/>
    <cellStyle name="Normal 9 5 2 2 4" xfId="9538" xr:uid="{5E580405-42C3-45D5-B39B-D11BB7E5BB51}"/>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1433F351-629C-444C-8A8B-71C243F1D3D5}"/>
    <cellStyle name="Normal 9 5 2 3 2 3" xfId="12096" xr:uid="{197EC40B-19B2-4692-81E7-3DCF57747613}"/>
    <cellStyle name="Normal 9 5 2 3 3" xfId="5727" xr:uid="{00000000-0005-0000-0000-000053200000}"/>
    <cellStyle name="Normal 9 5 2 3 3 2" xfId="14169" xr:uid="{4FC4D984-D0EC-4B9D-BE94-FB6158D21D84}"/>
    <cellStyle name="Normal 9 5 2 3 4" xfId="9951" xr:uid="{978E6942-0738-448A-8A27-9470CA896EBB}"/>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270C6C6F-2283-4522-8573-48A68AD365DE}"/>
    <cellStyle name="Normal 9 5 2 4 2 3" xfId="12509" xr:uid="{004B6B87-6E16-456F-B6D3-34EB3BC61CE0}"/>
    <cellStyle name="Normal 9 5 2 4 3" xfId="6140" xr:uid="{00000000-0005-0000-0000-000057200000}"/>
    <cellStyle name="Normal 9 5 2 4 3 2" xfId="14582" xr:uid="{6A8F9D08-BF63-4DF9-AE7E-484B668586A3}"/>
    <cellStyle name="Normal 9 5 2 4 4" xfId="10364" xr:uid="{5E7F7D2A-EFD4-4883-88A3-6E4700BC8B05}"/>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6B5D24EE-2489-4FC8-BB15-804AF129BEB9}"/>
    <cellStyle name="Normal 9 5 2 5 2 3" xfId="12922" xr:uid="{8DDB8147-04DE-464F-933D-D4418662C109}"/>
    <cellStyle name="Normal 9 5 2 5 3" xfId="6553" xr:uid="{00000000-0005-0000-0000-00005B200000}"/>
    <cellStyle name="Normal 9 5 2 5 3 2" xfId="14995" xr:uid="{DD7A8957-AC50-49A3-9B74-55AC0A2E7B2C}"/>
    <cellStyle name="Normal 9 5 2 5 4" xfId="10777" xr:uid="{9E5ED717-0C58-43B4-8711-82EF424425CF}"/>
    <cellStyle name="Normal 9 5 2 6" xfId="2682" xr:uid="{00000000-0005-0000-0000-00005C200000}"/>
    <cellStyle name="Normal 9 5 2 6 2" xfId="6966" xr:uid="{00000000-0005-0000-0000-00005D200000}"/>
    <cellStyle name="Normal 9 5 2 6 2 2" xfId="15408" xr:uid="{F17E15C7-5496-4C76-AABD-D927103CCB8F}"/>
    <cellStyle name="Normal 9 5 2 6 3" xfId="11190" xr:uid="{F426A6DF-A2F9-4B0A-BC50-33295BBBF98C}"/>
    <cellStyle name="Normal 9 5 2 7" xfId="4901" xr:uid="{00000000-0005-0000-0000-00005E200000}"/>
    <cellStyle name="Normal 9 5 2 7 2" xfId="13343" xr:uid="{4EF145CC-9D5C-4CC7-9268-7E05576497A4}"/>
    <cellStyle name="Normal 9 5 2 8" xfId="9125" xr:uid="{9DE5E072-588B-4D6E-A36D-6140F4DFF099}"/>
    <cellStyle name="Normal 9 5 3" xfId="1003" xr:uid="{00000000-0005-0000-0000-00005F200000}"/>
    <cellStyle name="Normal 9 5 3 2" xfId="3235" xr:uid="{00000000-0005-0000-0000-000060200000}"/>
    <cellStyle name="Normal 9 5 3 2 2" xfId="7458" xr:uid="{00000000-0005-0000-0000-000061200000}"/>
    <cellStyle name="Normal 9 5 3 2 2 2" xfId="15900" xr:uid="{3BE2265C-204E-434F-9D49-3F0A12373127}"/>
    <cellStyle name="Normal 9 5 3 2 3" xfId="11682" xr:uid="{7B2C0ED5-4304-4548-A721-F7AFD2877BBA}"/>
    <cellStyle name="Normal 9 5 3 3" xfId="5313" xr:uid="{00000000-0005-0000-0000-000062200000}"/>
    <cellStyle name="Normal 9 5 3 3 2" xfId="13755" xr:uid="{E982BD82-483C-46D7-9218-016F997A624F}"/>
    <cellStyle name="Normal 9 5 3 4" xfId="9537" xr:uid="{2A109AEB-965A-4635-8B26-0B97CE01AAC7}"/>
    <cellStyle name="Normal 9 5 4" xfId="1418" xr:uid="{00000000-0005-0000-0000-000063200000}"/>
    <cellStyle name="Normal 9 5 4 2" xfId="3648" xr:uid="{00000000-0005-0000-0000-000064200000}"/>
    <cellStyle name="Normal 9 5 4 2 2" xfId="7871" xr:uid="{00000000-0005-0000-0000-000065200000}"/>
    <cellStyle name="Normal 9 5 4 2 2 2" xfId="16313" xr:uid="{1E9CFA12-4BE9-4442-9B01-344F19D59CD5}"/>
    <cellStyle name="Normal 9 5 4 2 3" xfId="12095" xr:uid="{AC206E85-1111-4D1D-A077-8BA547EAFABB}"/>
    <cellStyle name="Normal 9 5 4 3" xfId="5726" xr:uid="{00000000-0005-0000-0000-000066200000}"/>
    <cellStyle name="Normal 9 5 4 3 2" xfId="14168" xr:uid="{1CA052FF-ADF1-4DA8-8A96-C983D214EBA7}"/>
    <cellStyle name="Normal 9 5 4 4" xfId="9950" xr:uid="{7A8F1E00-8BD8-4D5E-BC4B-00A7C69EC799}"/>
    <cellStyle name="Normal 9 5 5" xfId="1831" xr:uid="{00000000-0005-0000-0000-000067200000}"/>
    <cellStyle name="Normal 9 5 5 2" xfId="4061" xr:uid="{00000000-0005-0000-0000-000068200000}"/>
    <cellStyle name="Normal 9 5 5 2 2" xfId="8284" xr:uid="{00000000-0005-0000-0000-000069200000}"/>
    <cellStyle name="Normal 9 5 5 2 2 2" xfId="16726" xr:uid="{C87AA843-48AF-41F3-94DD-CA79E93D911F}"/>
    <cellStyle name="Normal 9 5 5 2 3" xfId="12508" xr:uid="{A42C5036-3F10-4210-8C84-ECE531688997}"/>
    <cellStyle name="Normal 9 5 5 3" xfId="6139" xr:uid="{00000000-0005-0000-0000-00006A200000}"/>
    <cellStyle name="Normal 9 5 5 3 2" xfId="14581" xr:uid="{D3BC03A3-F5AA-4A62-B28A-3C0FCE248005}"/>
    <cellStyle name="Normal 9 5 5 4" xfId="10363" xr:uid="{DC3A695A-0345-46B7-8BE5-634CC526A70B}"/>
    <cellStyle name="Normal 9 5 6" xfId="2245" xr:uid="{00000000-0005-0000-0000-00006B200000}"/>
    <cellStyle name="Normal 9 5 6 2" xfId="4474" xr:uid="{00000000-0005-0000-0000-00006C200000}"/>
    <cellStyle name="Normal 9 5 6 2 2" xfId="8697" xr:uid="{00000000-0005-0000-0000-00006D200000}"/>
    <cellStyle name="Normal 9 5 6 2 2 2" xfId="17139" xr:uid="{49718AEC-8214-48B9-9B30-433B33C7BD82}"/>
    <cellStyle name="Normal 9 5 6 2 3" xfId="12921" xr:uid="{D24B9C53-4280-43D9-A020-51D26E2AA9E9}"/>
    <cellStyle name="Normal 9 5 6 3" xfId="6552" xr:uid="{00000000-0005-0000-0000-00006E200000}"/>
    <cellStyle name="Normal 9 5 6 3 2" xfId="14994" xr:uid="{9A4FD4C8-5147-4BFE-A544-24DD7E517ED5}"/>
    <cellStyle name="Normal 9 5 6 4" xfId="10776" xr:uid="{AE9842C6-7444-43FD-8213-5F0CE03679FC}"/>
    <cellStyle name="Normal 9 5 7" xfId="2681" xr:uid="{00000000-0005-0000-0000-00006F200000}"/>
    <cellStyle name="Normal 9 5 7 2" xfId="6965" xr:uid="{00000000-0005-0000-0000-000070200000}"/>
    <cellStyle name="Normal 9 5 7 2 2" xfId="15407" xr:uid="{A2EC07EA-03E6-4214-B320-8004884A6B97}"/>
    <cellStyle name="Normal 9 5 7 3" xfId="11189" xr:uid="{780F718F-F34A-430A-BDF1-3BD9A043053F}"/>
    <cellStyle name="Normal 9 5 8" xfId="4900" xr:uid="{00000000-0005-0000-0000-000071200000}"/>
    <cellStyle name="Normal 9 5 8 2" xfId="13342" xr:uid="{8208BE9F-50E0-4EE9-8128-CBF244A3CABB}"/>
    <cellStyle name="Normal 9 5 9" xfId="9124" xr:uid="{7413C6B0-5404-4CE9-8C1D-033D19A084D6}"/>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7AE0D2F8-CF6F-4728-8C21-A63007F305BB}"/>
    <cellStyle name="Normal 9 6 2 2 3" xfId="11684" xr:uid="{93ED2030-517E-498A-9683-E1D894233DBA}"/>
    <cellStyle name="Normal 9 6 2 3" xfId="5315" xr:uid="{00000000-0005-0000-0000-000076200000}"/>
    <cellStyle name="Normal 9 6 2 3 2" xfId="13757" xr:uid="{EF3353B3-6221-48E6-A4A0-C6450791F827}"/>
    <cellStyle name="Normal 9 6 2 4" xfId="9539" xr:uid="{52557970-D862-4D45-A439-6D7CF1A2B7AD}"/>
    <cellStyle name="Normal 9 6 3" xfId="1420" xr:uid="{00000000-0005-0000-0000-000077200000}"/>
    <cellStyle name="Normal 9 6 3 2" xfId="3650" xr:uid="{00000000-0005-0000-0000-000078200000}"/>
    <cellStyle name="Normal 9 6 3 2 2" xfId="7873" xr:uid="{00000000-0005-0000-0000-000079200000}"/>
    <cellStyle name="Normal 9 6 3 2 2 2" xfId="16315" xr:uid="{DF8B12F5-BB29-437D-A356-6D60A2FD99A8}"/>
    <cellStyle name="Normal 9 6 3 2 3" xfId="12097" xr:uid="{2989D472-D471-45F6-9DE0-F903A3D0D573}"/>
    <cellStyle name="Normal 9 6 3 3" xfId="5728" xr:uid="{00000000-0005-0000-0000-00007A200000}"/>
    <cellStyle name="Normal 9 6 3 3 2" xfId="14170" xr:uid="{2FC271AD-EFFB-4AE8-A742-5F0FF7F5E203}"/>
    <cellStyle name="Normal 9 6 3 4" xfId="9952" xr:uid="{510EFBD8-2722-4089-99DE-3BED1A46EA93}"/>
    <cellStyle name="Normal 9 6 4" xfId="1833" xr:uid="{00000000-0005-0000-0000-00007B200000}"/>
    <cellStyle name="Normal 9 6 4 2" xfId="4063" xr:uid="{00000000-0005-0000-0000-00007C200000}"/>
    <cellStyle name="Normal 9 6 4 2 2" xfId="8286" xr:uid="{00000000-0005-0000-0000-00007D200000}"/>
    <cellStyle name="Normal 9 6 4 2 2 2" xfId="16728" xr:uid="{AAB703E1-CC31-4D61-BF96-79E3DA06CF8B}"/>
    <cellStyle name="Normal 9 6 4 2 3" xfId="12510" xr:uid="{00E7E172-E0E8-428B-A4C6-7E38A8ED1580}"/>
    <cellStyle name="Normal 9 6 4 3" xfId="6141" xr:uid="{00000000-0005-0000-0000-00007E200000}"/>
    <cellStyle name="Normal 9 6 4 3 2" xfId="14583" xr:uid="{B0C9F397-37CB-4140-84B5-8ACF36D7FE44}"/>
    <cellStyle name="Normal 9 6 4 4" xfId="10365" xr:uid="{2274E12E-9420-4587-B50E-E20F90BB915F}"/>
    <cellStyle name="Normal 9 6 5" xfId="2247" xr:uid="{00000000-0005-0000-0000-00007F200000}"/>
    <cellStyle name="Normal 9 6 5 2" xfId="4476" xr:uid="{00000000-0005-0000-0000-000080200000}"/>
    <cellStyle name="Normal 9 6 5 2 2" xfId="8699" xr:uid="{00000000-0005-0000-0000-000081200000}"/>
    <cellStyle name="Normal 9 6 5 2 2 2" xfId="17141" xr:uid="{0392B342-5BEC-4A04-A8F4-25C9D401E503}"/>
    <cellStyle name="Normal 9 6 5 2 3" xfId="12923" xr:uid="{2F7E73CC-1C6F-42A6-AEEA-45E068B63F35}"/>
    <cellStyle name="Normal 9 6 5 3" xfId="6554" xr:uid="{00000000-0005-0000-0000-000082200000}"/>
    <cellStyle name="Normal 9 6 5 3 2" xfId="14996" xr:uid="{E252973A-BB64-40C3-A786-8D6641E176E9}"/>
    <cellStyle name="Normal 9 6 5 4" xfId="10778" xr:uid="{45F90B8E-264A-4962-9011-62F40FB2EDDF}"/>
    <cellStyle name="Normal 9 6 6" xfId="2683" xr:uid="{00000000-0005-0000-0000-000083200000}"/>
    <cellStyle name="Normal 9 6 6 2" xfId="6967" xr:uid="{00000000-0005-0000-0000-000084200000}"/>
    <cellStyle name="Normal 9 6 6 2 2" xfId="15409" xr:uid="{3352F368-0254-4DA8-B71E-EC16E1A6CB0B}"/>
    <cellStyle name="Normal 9 6 6 3" xfId="11191" xr:uid="{5F893A7F-BDED-494C-98B0-D99EA6722166}"/>
    <cellStyle name="Normal 9 6 7" xfId="4902" xr:uid="{00000000-0005-0000-0000-000085200000}"/>
    <cellStyle name="Normal 9 6 7 2" xfId="13344" xr:uid="{BF503B69-606C-45C0-9AAB-52FF2F938053}"/>
    <cellStyle name="Normal 9 6 8" xfId="9126" xr:uid="{89E3CB68-206D-4162-8539-C92C4C3D262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098964DF-4784-4955-AC40-BDA93D9704CE}"/>
    <cellStyle name="Note 2 2 10 3" xfId="11272" xr:uid="{D1817A14-CDC8-4AD9-BF45-38BC267E34B5}"/>
    <cellStyle name="Note 2 2 11" xfId="4903" xr:uid="{00000000-0005-0000-0000-000094200000}"/>
    <cellStyle name="Note 2 2 11 2" xfId="13345" xr:uid="{911BDC1D-FFAC-4AEB-B96F-CD626A48E586}"/>
    <cellStyle name="Note 2 2 12" xfId="9127" xr:uid="{2E079773-6B23-4F78-9120-E6BE16130741}"/>
    <cellStyle name="Note 2 2 2" xfId="546" xr:uid="{00000000-0005-0000-0000-000095200000}"/>
    <cellStyle name="Note 2 2 2 10" xfId="4904" xr:uid="{00000000-0005-0000-0000-000096200000}"/>
    <cellStyle name="Note 2 2 2 10 2" xfId="13346" xr:uid="{692A09BE-5DBF-454A-B437-74A89BF6EF7D}"/>
    <cellStyle name="Note 2 2 2 11" xfId="9128" xr:uid="{933D8F9F-5EBD-4853-BC41-7A30A74861FF}"/>
    <cellStyle name="Note 2 2 2 2" xfId="547" xr:uid="{00000000-0005-0000-0000-000097200000}"/>
    <cellStyle name="Note 2 2 2 2 10" xfId="9129" xr:uid="{BFC3A8AD-F090-4AEA-948A-35C265E53416}"/>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0C60BFD8-1456-400F-B7FA-F5B4CC822B28}"/>
    <cellStyle name="Note 2 2 2 2 2 2 3" xfId="11687" xr:uid="{68FC94BB-8EDA-48D7-842B-BC6860F2BD26}"/>
    <cellStyle name="Note 2 2 2 2 2 3" xfId="5318" xr:uid="{00000000-0005-0000-0000-00009B200000}"/>
    <cellStyle name="Note 2 2 2 2 2 3 2" xfId="13760" xr:uid="{7C60394C-AA17-48CE-A98A-495E288D3CF0}"/>
    <cellStyle name="Note 2 2 2 2 2 4" xfId="9542" xr:uid="{99BECB66-3357-4462-9638-D5F75418ECB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78AA62F8-E370-4BA3-AD35-8CBE5FD43C8A}"/>
    <cellStyle name="Note 2 2 2 2 3 2 3" xfId="12100" xr:uid="{44C3FD06-EEED-455B-8BBE-2369B14FCB11}"/>
    <cellStyle name="Note 2 2 2 2 3 3" xfId="5731" xr:uid="{00000000-0005-0000-0000-00009F200000}"/>
    <cellStyle name="Note 2 2 2 2 3 3 2" xfId="14173" xr:uid="{23285352-5C49-4885-9153-144DE31A9347}"/>
    <cellStyle name="Note 2 2 2 2 3 4" xfId="9955" xr:uid="{9D2896D3-0283-4C32-BAA0-8F151BBE55F2}"/>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7A249DA5-7089-43DA-A08F-518CB1D1F020}"/>
    <cellStyle name="Note 2 2 2 2 4 2 3" xfId="12513" xr:uid="{C0E950D2-A8DE-4FA5-AA01-78904CE46C9A}"/>
    <cellStyle name="Note 2 2 2 2 4 3" xfId="6144" xr:uid="{00000000-0005-0000-0000-0000A3200000}"/>
    <cellStyle name="Note 2 2 2 2 4 3 2" xfId="14586" xr:uid="{7AF225E0-47EA-4F23-9862-2012F98BEB14}"/>
    <cellStyle name="Note 2 2 2 2 4 4" xfId="10368" xr:uid="{FD2DB109-A41A-41F1-8799-5F03C574B967}"/>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315117BE-3570-444E-8BE1-C00CD37C9105}"/>
    <cellStyle name="Note 2 2 2 2 5 2 3" xfId="12926" xr:uid="{C4C3D51A-FB03-4579-884D-DE2CE2D35D28}"/>
    <cellStyle name="Note 2 2 2 2 5 3" xfId="6557" xr:uid="{00000000-0005-0000-0000-0000A7200000}"/>
    <cellStyle name="Note 2 2 2 2 5 3 2" xfId="14999" xr:uid="{7FB1AFB9-16DE-40A5-801F-95786863AFAA}"/>
    <cellStyle name="Note 2 2 2 2 5 4" xfId="10781" xr:uid="{9487143B-8436-4AEF-9876-4BFCCE2BD386}"/>
    <cellStyle name="Note 2 2 2 2 6" xfId="2686" xr:uid="{00000000-0005-0000-0000-0000A8200000}"/>
    <cellStyle name="Note 2 2 2 2 6 2" xfId="6970" xr:uid="{00000000-0005-0000-0000-0000A9200000}"/>
    <cellStyle name="Note 2 2 2 2 6 2 2" xfId="15412" xr:uid="{185B955D-A764-4594-A609-BDD48BCD71FD}"/>
    <cellStyle name="Note 2 2 2 2 6 3" xfId="11194" xr:uid="{9DAB7BEB-105A-4703-B891-363FB3469963}"/>
    <cellStyle name="Note 2 2 2 2 7" xfId="2745" xr:uid="{00000000-0005-0000-0000-0000AA200000}"/>
    <cellStyle name="Note 2 2 2 2 8" xfId="2826" xr:uid="{00000000-0005-0000-0000-0000AB200000}"/>
    <cellStyle name="Note 2 2 2 2 8 2" xfId="7050" xr:uid="{00000000-0005-0000-0000-0000AC200000}"/>
    <cellStyle name="Note 2 2 2 2 8 2 2" xfId="15492" xr:uid="{CC20E63E-8A9F-4CA3-B806-0040FF6446E6}"/>
    <cellStyle name="Note 2 2 2 2 8 3" xfId="11274" xr:uid="{23F1E9BF-5C6F-4550-837A-A443A528E1A9}"/>
    <cellStyle name="Note 2 2 2 2 9" xfId="4905" xr:uid="{00000000-0005-0000-0000-0000AD200000}"/>
    <cellStyle name="Note 2 2 2 2 9 2" xfId="13347" xr:uid="{7DEC8C18-E002-4F13-AD2C-F096A351EB80}"/>
    <cellStyle name="Note 2 2 2 3" xfId="1007" xr:uid="{00000000-0005-0000-0000-0000AE200000}"/>
    <cellStyle name="Note 2 2 2 3 2" xfId="3239" xr:uid="{00000000-0005-0000-0000-0000AF200000}"/>
    <cellStyle name="Note 2 2 2 3 2 2" xfId="7462" xr:uid="{00000000-0005-0000-0000-0000B0200000}"/>
    <cellStyle name="Note 2 2 2 3 2 2 2" xfId="15904" xr:uid="{1EC5E963-C0E9-4F81-86C2-9102D6970FEC}"/>
    <cellStyle name="Note 2 2 2 3 2 3" xfId="11686" xr:uid="{0A8FC910-AC0F-4357-B68E-2B746B9E6362}"/>
    <cellStyle name="Note 2 2 2 3 3" xfId="5317" xr:uid="{00000000-0005-0000-0000-0000B1200000}"/>
    <cellStyle name="Note 2 2 2 3 3 2" xfId="13759" xr:uid="{1FCE9CC2-1958-44A1-AA17-C9945B0BEE21}"/>
    <cellStyle name="Note 2 2 2 3 4" xfId="9541" xr:uid="{760D6CA1-9A7E-4489-A3ED-1191D74D8722}"/>
    <cellStyle name="Note 2 2 2 4" xfId="1422" xr:uid="{00000000-0005-0000-0000-0000B2200000}"/>
    <cellStyle name="Note 2 2 2 4 2" xfId="3652" xr:uid="{00000000-0005-0000-0000-0000B3200000}"/>
    <cellStyle name="Note 2 2 2 4 2 2" xfId="7875" xr:uid="{00000000-0005-0000-0000-0000B4200000}"/>
    <cellStyle name="Note 2 2 2 4 2 2 2" xfId="16317" xr:uid="{F2A1707F-0A6B-48AB-9B2E-FD37B3C82CC1}"/>
    <cellStyle name="Note 2 2 2 4 2 3" xfId="12099" xr:uid="{23263172-88AC-495C-B9FC-0A9F6F10D424}"/>
    <cellStyle name="Note 2 2 2 4 3" xfId="5730" xr:uid="{00000000-0005-0000-0000-0000B5200000}"/>
    <cellStyle name="Note 2 2 2 4 3 2" xfId="14172" xr:uid="{5A830209-247F-4995-9388-F37B4A0FA1DD}"/>
    <cellStyle name="Note 2 2 2 4 4" xfId="9954" xr:uid="{0C94C349-629E-409C-ADFC-14E2D73ED838}"/>
    <cellStyle name="Note 2 2 2 5" xfId="1836" xr:uid="{00000000-0005-0000-0000-0000B6200000}"/>
    <cellStyle name="Note 2 2 2 5 2" xfId="4065" xr:uid="{00000000-0005-0000-0000-0000B7200000}"/>
    <cellStyle name="Note 2 2 2 5 2 2" xfId="8288" xr:uid="{00000000-0005-0000-0000-0000B8200000}"/>
    <cellStyle name="Note 2 2 2 5 2 2 2" xfId="16730" xr:uid="{E8FF4954-A872-4149-826F-CFB7CFB0913A}"/>
    <cellStyle name="Note 2 2 2 5 2 3" xfId="12512" xr:uid="{0CD11A8A-2AC9-468A-AA7C-3FB29770DC9E}"/>
    <cellStyle name="Note 2 2 2 5 3" xfId="6143" xr:uid="{00000000-0005-0000-0000-0000B9200000}"/>
    <cellStyle name="Note 2 2 2 5 3 2" xfId="14585" xr:uid="{44F92692-7C26-4AE5-8B98-4DEA83B40672}"/>
    <cellStyle name="Note 2 2 2 5 4" xfId="10367" xr:uid="{DBEC9B80-AABD-42C4-9BF6-A7D07752AEAF}"/>
    <cellStyle name="Note 2 2 2 6" xfId="2249" xr:uid="{00000000-0005-0000-0000-0000BA200000}"/>
    <cellStyle name="Note 2 2 2 6 2" xfId="4478" xr:uid="{00000000-0005-0000-0000-0000BB200000}"/>
    <cellStyle name="Note 2 2 2 6 2 2" xfId="8701" xr:uid="{00000000-0005-0000-0000-0000BC200000}"/>
    <cellStyle name="Note 2 2 2 6 2 2 2" xfId="17143" xr:uid="{14BC2A83-2E4C-4AE8-9B99-61290505BF9C}"/>
    <cellStyle name="Note 2 2 2 6 2 3" xfId="12925" xr:uid="{03C6B73E-B7C8-455A-9107-C9290E12ADC4}"/>
    <cellStyle name="Note 2 2 2 6 3" xfId="6556" xr:uid="{00000000-0005-0000-0000-0000BD200000}"/>
    <cellStyle name="Note 2 2 2 6 3 2" xfId="14998" xr:uid="{1645268D-4AD5-4915-8B5D-6DA2D534B4D6}"/>
    <cellStyle name="Note 2 2 2 6 4" xfId="10780" xr:uid="{B6C8AFC2-0ACA-43C7-A337-6D1187AC04B6}"/>
    <cellStyle name="Note 2 2 2 7" xfId="2685" xr:uid="{00000000-0005-0000-0000-0000BE200000}"/>
    <cellStyle name="Note 2 2 2 7 2" xfId="6969" xr:uid="{00000000-0005-0000-0000-0000BF200000}"/>
    <cellStyle name="Note 2 2 2 7 2 2" xfId="15411" xr:uid="{07E8B075-549F-47B7-A38A-A32C3B7E1938}"/>
    <cellStyle name="Note 2 2 2 7 3" xfId="11193" xr:uid="{B069F3C4-8E5B-4DB7-BCE3-C6F12136F1A5}"/>
    <cellStyle name="Note 2 2 2 8" xfId="2744" xr:uid="{00000000-0005-0000-0000-0000C0200000}"/>
    <cellStyle name="Note 2 2 2 9" xfId="2825" xr:uid="{00000000-0005-0000-0000-0000C1200000}"/>
    <cellStyle name="Note 2 2 2 9 2" xfId="7049" xr:uid="{00000000-0005-0000-0000-0000C2200000}"/>
    <cellStyle name="Note 2 2 2 9 2 2" xfId="15491" xr:uid="{1AEA0938-1F45-45E9-82FE-7D1373F77525}"/>
    <cellStyle name="Note 2 2 2 9 3" xfId="11273" xr:uid="{B8D4E205-C0F8-4F80-BD3D-C3783183D5AB}"/>
    <cellStyle name="Note 2 2 3" xfId="548" xr:uid="{00000000-0005-0000-0000-0000C3200000}"/>
    <cellStyle name="Note 2 2 3 10" xfId="9130" xr:uid="{22DFBB53-77E8-4096-B212-87452DB3F723}"/>
    <cellStyle name="Note 2 2 3 2" xfId="1009" xr:uid="{00000000-0005-0000-0000-0000C4200000}"/>
    <cellStyle name="Note 2 2 3 2 2" xfId="3241" xr:uid="{00000000-0005-0000-0000-0000C5200000}"/>
    <cellStyle name="Note 2 2 3 2 2 2" xfId="7464" xr:uid="{00000000-0005-0000-0000-0000C6200000}"/>
    <cellStyle name="Note 2 2 3 2 2 2 2" xfId="15906" xr:uid="{C373CB0D-831B-46F1-A80E-5B47E6E6AB33}"/>
    <cellStyle name="Note 2 2 3 2 2 3" xfId="11688" xr:uid="{F8A50BF4-47D7-42F1-9F9D-F8AAFAB7CBA2}"/>
    <cellStyle name="Note 2 2 3 2 3" xfId="5319" xr:uid="{00000000-0005-0000-0000-0000C7200000}"/>
    <cellStyle name="Note 2 2 3 2 3 2" xfId="13761" xr:uid="{4CFF7C7A-B51F-47D4-9622-3543E1924E9E}"/>
    <cellStyle name="Note 2 2 3 2 4" xfId="9543" xr:uid="{616E340E-AB7D-429D-A13E-D893322756C5}"/>
    <cellStyle name="Note 2 2 3 3" xfId="1424" xr:uid="{00000000-0005-0000-0000-0000C8200000}"/>
    <cellStyle name="Note 2 2 3 3 2" xfId="3654" xr:uid="{00000000-0005-0000-0000-0000C9200000}"/>
    <cellStyle name="Note 2 2 3 3 2 2" xfId="7877" xr:uid="{00000000-0005-0000-0000-0000CA200000}"/>
    <cellStyle name="Note 2 2 3 3 2 2 2" xfId="16319" xr:uid="{1623A7CE-114D-4240-B16C-A3899CEDD675}"/>
    <cellStyle name="Note 2 2 3 3 2 3" xfId="12101" xr:uid="{8535E590-05CF-47F3-AA97-6B827DA0E946}"/>
    <cellStyle name="Note 2 2 3 3 3" xfId="5732" xr:uid="{00000000-0005-0000-0000-0000CB200000}"/>
    <cellStyle name="Note 2 2 3 3 3 2" xfId="14174" xr:uid="{FBCDB163-1C83-451A-9A67-1869F6B135B2}"/>
    <cellStyle name="Note 2 2 3 3 4" xfId="9956" xr:uid="{7AA6BE8B-1510-4040-BCF2-1B9F89F3D9C7}"/>
    <cellStyle name="Note 2 2 3 4" xfId="1838" xr:uid="{00000000-0005-0000-0000-0000CC200000}"/>
    <cellStyle name="Note 2 2 3 4 2" xfId="4067" xr:uid="{00000000-0005-0000-0000-0000CD200000}"/>
    <cellStyle name="Note 2 2 3 4 2 2" xfId="8290" xr:uid="{00000000-0005-0000-0000-0000CE200000}"/>
    <cellStyle name="Note 2 2 3 4 2 2 2" xfId="16732" xr:uid="{C33EF916-3CC8-430C-B0ED-75CC8C72AAAA}"/>
    <cellStyle name="Note 2 2 3 4 2 3" xfId="12514" xr:uid="{FC48E9D8-53C8-4ABA-B8D6-43581AAB665D}"/>
    <cellStyle name="Note 2 2 3 4 3" xfId="6145" xr:uid="{00000000-0005-0000-0000-0000CF200000}"/>
    <cellStyle name="Note 2 2 3 4 3 2" xfId="14587" xr:uid="{23547782-82B5-4E26-8AEA-CBF49C0312DE}"/>
    <cellStyle name="Note 2 2 3 4 4" xfId="10369" xr:uid="{35C13D04-742B-49C5-A20C-8ED12951F702}"/>
    <cellStyle name="Note 2 2 3 5" xfId="2251" xr:uid="{00000000-0005-0000-0000-0000D0200000}"/>
    <cellStyle name="Note 2 2 3 5 2" xfId="4480" xr:uid="{00000000-0005-0000-0000-0000D1200000}"/>
    <cellStyle name="Note 2 2 3 5 2 2" xfId="8703" xr:uid="{00000000-0005-0000-0000-0000D2200000}"/>
    <cellStyle name="Note 2 2 3 5 2 2 2" xfId="17145" xr:uid="{078152FD-DD3A-4B71-B952-55BD929DBC4C}"/>
    <cellStyle name="Note 2 2 3 5 2 3" xfId="12927" xr:uid="{FC05B998-CA39-41FA-B3AA-C606B6B3D90D}"/>
    <cellStyle name="Note 2 2 3 5 3" xfId="6558" xr:uid="{00000000-0005-0000-0000-0000D3200000}"/>
    <cellStyle name="Note 2 2 3 5 3 2" xfId="15000" xr:uid="{26C1EC0B-13A3-44FB-93AA-8B5C62410490}"/>
    <cellStyle name="Note 2 2 3 5 4" xfId="10782" xr:uid="{0469F673-C299-47DD-B4DE-6565E5FF4BB8}"/>
    <cellStyle name="Note 2 2 3 6" xfId="2687" xr:uid="{00000000-0005-0000-0000-0000D4200000}"/>
    <cellStyle name="Note 2 2 3 6 2" xfId="6971" xr:uid="{00000000-0005-0000-0000-0000D5200000}"/>
    <cellStyle name="Note 2 2 3 6 2 2" xfId="15413" xr:uid="{FC4B19DF-C97B-4FD3-8D6C-C81178A2D4CF}"/>
    <cellStyle name="Note 2 2 3 6 3" xfId="11195" xr:uid="{CEE0E3B8-06AA-46EB-AD37-3FB7064697BA}"/>
    <cellStyle name="Note 2 2 3 7" xfId="2746" xr:uid="{00000000-0005-0000-0000-0000D6200000}"/>
    <cellStyle name="Note 2 2 3 8" xfId="2827" xr:uid="{00000000-0005-0000-0000-0000D7200000}"/>
    <cellStyle name="Note 2 2 3 8 2" xfId="7051" xr:uid="{00000000-0005-0000-0000-0000D8200000}"/>
    <cellStyle name="Note 2 2 3 8 2 2" xfId="15493" xr:uid="{1C488977-76B0-4AE4-84F2-73D5FDCC42E2}"/>
    <cellStyle name="Note 2 2 3 8 3" xfId="11275" xr:uid="{EF0F1B70-FB4B-4EDC-8FCB-8DE8D9CE2DA3}"/>
    <cellStyle name="Note 2 2 3 9" xfId="4906" xr:uid="{00000000-0005-0000-0000-0000D9200000}"/>
    <cellStyle name="Note 2 2 3 9 2" xfId="13348" xr:uid="{8368D9E2-4F57-4CB9-A1FC-4BC9CC264A08}"/>
    <cellStyle name="Note 2 2 4" xfId="1006" xr:uid="{00000000-0005-0000-0000-0000DA200000}"/>
    <cellStyle name="Note 2 2 4 2" xfId="3238" xr:uid="{00000000-0005-0000-0000-0000DB200000}"/>
    <cellStyle name="Note 2 2 4 2 2" xfId="7461" xr:uid="{00000000-0005-0000-0000-0000DC200000}"/>
    <cellStyle name="Note 2 2 4 2 2 2" xfId="15903" xr:uid="{39D602D5-4E3C-4876-9F30-679ED357D927}"/>
    <cellStyle name="Note 2 2 4 2 3" xfId="11685" xr:uid="{97FB692D-BADF-4139-9FB6-C4EF8F85C76F}"/>
    <cellStyle name="Note 2 2 4 3" xfId="5316" xr:uid="{00000000-0005-0000-0000-0000DD200000}"/>
    <cellStyle name="Note 2 2 4 3 2" xfId="13758" xr:uid="{527B2D9E-6632-49A4-9A64-0D36830FFBBD}"/>
    <cellStyle name="Note 2 2 4 4" xfId="9540" xr:uid="{E76B30BD-BF9F-4EEE-9A05-7FB2F08BCD19}"/>
    <cellStyle name="Note 2 2 5" xfId="1421" xr:uid="{00000000-0005-0000-0000-0000DE200000}"/>
    <cellStyle name="Note 2 2 5 2" xfId="3651" xr:uid="{00000000-0005-0000-0000-0000DF200000}"/>
    <cellStyle name="Note 2 2 5 2 2" xfId="7874" xr:uid="{00000000-0005-0000-0000-0000E0200000}"/>
    <cellStyle name="Note 2 2 5 2 2 2" xfId="16316" xr:uid="{C1B705B6-35ED-4CD8-8143-880D722A7A3A}"/>
    <cellStyle name="Note 2 2 5 2 3" xfId="12098" xr:uid="{2E0214A4-CE13-4E00-A2FC-E87D27742068}"/>
    <cellStyle name="Note 2 2 5 3" xfId="5729" xr:uid="{00000000-0005-0000-0000-0000E1200000}"/>
    <cellStyle name="Note 2 2 5 3 2" xfId="14171" xr:uid="{17FE909D-40E1-4839-97C9-F63F9C9D27F6}"/>
    <cellStyle name="Note 2 2 5 4" xfId="9953" xr:uid="{FDEC0B7F-2610-4704-9A99-3CF9878CA155}"/>
    <cellStyle name="Note 2 2 6" xfId="1835" xr:uid="{00000000-0005-0000-0000-0000E2200000}"/>
    <cellStyle name="Note 2 2 6 2" xfId="4064" xr:uid="{00000000-0005-0000-0000-0000E3200000}"/>
    <cellStyle name="Note 2 2 6 2 2" xfId="8287" xr:uid="{00000000-0005-0000-0000-0000E4200000}"/>
    <cellStyle name="Note 2 2 6 2 2 2" xfId="16729" xr:uid="{CFBA5B09-9C05-4D53-AF78-1F32F6421CE1}"/>
    <cellStyle name="Note 2 2 6 2 3" xfId="12511" xr:uid="{C4FF5BB9-7DDE-463C-AC01-70A436472F1C}"/>
    <cellStyle name="Note 2 2 6 3" xfId="6142" xr:uid="{00000000-0005-0000-0000-0000E5200000}"/>
    <cellStyle name="Note 2 2 6 3 2" xfId="14584" xr:uid="{FC52CE19-D421-4936-9CE3-ED573CF402BE}"/>
    <cellStyle name="Note 2 2 6 4" xfId="10366" xr:uid="{B6E6877B-B263-4E56-94EA-A6253A5EC7C2}"/>
    <cellStyle name="Note 2 2 7" xfId="2248" xr:uid="{00000000-0005-0000-0000-0000E6200000}"/>
    <cellStyle name="Note 2 2 7 2" xfId="4477" xr:uid="{00000000-0005-0000-0000-0000E7200000}"/>
    <cellStyle name="Note 2 2 7 2 2" xfId="8700" xr:uid="{00000000-0005-0000-0000-0000E8200000}"/>
    <cellStyle name="Note 2 2 7 2 2 2" xfId="17142" xr:uid="{5DCB3B88-73FB-49B5-B1F9-3161010C5F60}"/>
    <cellStyle name="Note 2 2 7 2 3" xfId="12924" xr:uid="{0D68962C-5C38-422E-BC76-1267BA70EE3F}"/>
    <cellStyle name="Note 2 2 7 3" xfId="6555" xr:uid="{00000000-0005-0000-0000-0000E9200000}"/>
    <cellStyle name="Note 2 2 7 3 2" xfId="14997" xr:uid="{65BA6453-B98E-482E-8FCF-6DF1A0346210}"/>
    <cellStyle name="Note 2 2 7 4" xfId="10779" xr:uid="{774492CE-AE6D-415D-B3A1-3CE918C507A0}"/>
    <cellStyle name="Note 2 2 8" xfId="2684" xr:uid="{00000000-0005-0000-0000-0000EA200000}"/>
    <cellStyle name="Note 2 2 8 2" xfId="6968" xr:uid="{00000000-0005-0000-0000-0000EB200000}"/>
    <cellStyle name="Note 2 2 8 2 2" xfId="15410" xr:uid="{E56097D6-846C-41F7-94AF-0ED628246471}"/>
    <cellStyle name="Note 2 2 8 3" xfId="11192" xr:uid="{9E59C6A1-8BDB-43C8-8542-324BFAF5E8BD}"/>
    <cellStyle name="Note 2 2 9" xfId="2743" xr:uid="{00000000-0005-0000-0000-0000EC200000}"/>
    <cellStyle name="Note 2 3" xfId="549" xr:uid="{00000000-0005-0000-0000-0000ED200000}"/>
    <cellStyle name="Note 2 3 10" xfId="4907" xr:uid="{00000000-0005-0000-0000-0000EE200000}"/>
    <cellStyle name="Note 2 3 10 2" xfId="13349" xr:uid="{59CA2CFA-FB13-4084-AB17-B115E59B0851}"/>
    <cellStyle name="Note 2 3 11" xfId="9131" xr:uid="{88433F68-2D0F-4451-9E1A-B5E95A6325A9}"/>
    <cellStyle name="Note 2 3 2" xfId="550" xr:uid="{00000000-0005-0000-0000-0000EF200000}"/>
    <cellStyle name="Note 2 3 2 10" xfId="9132" xr:uid="{95A77F6A-5161-45E8-BCE6-E68DC0D6AF84}"/>
    <cellStyle name="Note 2 3 2 2" xfId="1011" xr:uid="{00000000-0005-0000-0000-0000F0200000}"/>
    <cellStyle name="Note 2 3 2 2 2" xfId="3243" xr:uid="{00000000-0005-0000-0000-0000F1200000}"/>
    <cellStyle name="Note 2 3 2 2 2 2" xfId="7466" xr:uid="{00000000-0005-0000-0000-0000F2200000}"/>
    <cellStyle name="Note 2 3 2 2 2 2 2" xfId="15908" xr:uid="{7429B84F-50EB-4748-9905-BF2E53BF49C5}"/>
    <cellStyle name="Note 2 3 2 2 2 3" xfId="11690" xr:uid="{A901D53D-CBDC-481A-9E58-2DC97DB95239}"/>
    <cellStyle name="Note 2 3 2 2 3" xfId="5321" xr:uid="{00000000-0005-0000-0000-0000F3200000}"/>
    <cellStyle name="Note 2 3 2 2 3 2" xfId="13763" xr:uid="{E6C9B2EF-600D-4F4A-AD0C-357E8A2F8576}"/>
    <cellStyle name="Note 2 3 2 2 4" xfId="9545" xr:uid="{29D81C6F-97D8-46EB-808B-C2D6ECB48DD3}"/>
    <cellStyle name="Note 2 3 2 3" xfId="1426" xr:uid="{00000000-0005-0000-0000-0000F4200000}"/>
    <cellStyle name="Note 2 3 2 3 2" xfId="3656" xr:uid="{00000000-0005-0000-0000-0000F5200000}"/>
    <cellStyle name="Note 2 3 2 3 2 2" xfId="7879" xr:uid="{00000000-0005-0000-0000-0000F6200000}"/>
    <cellStyle name="Note 2 3 2 3 2 2 2" xfId="16321" xr:uid="{E9BB8ADF-296F-4D73-BBC4-C2B29C202D93}"/>
    <cellStyle name="Note 2 3 2 3 2 3" xfId="12103" xr:uid="{BB6E048F-4540-4A26-A9C8-F87D53030BE8}"/>
    <cellStyle name="Note 2 3 2 3 3" xfId="5734" xr:uid="{00000000-0005-0000-0000-0000F7200000}"/>
    <cellStyle name="Note 2 3 2 3 3 2" xfId="14176" xr:uid="{ADBF4FE5-8868-4FB5-A251-C8CC7E536E97}"/>
    <cellStyle name="Note 2 3 2 3 4" xfId="9958" xr:uid="{8FD8C5D8-F225-4811-AE86-5FC0A19B3994}"/>
    <cellStyle name="Note 2 3 2 4" xfId="1840" xr:uid="{00000000-0005-0000-0000-0000F8200000}"/>
    <cellStyle name="Note 2 3 2 4 2" xfId="4069" xr:uid="{00000000-0005-0000-0000-0000F9200000}"/>
    <cellStyle name="Note 2 3 2 4 2 2" xfId="8292" xr:uid="{00000000-0005-0000-0000-0000FA200000}"/>
    <cellStyle name="Note 2 3 2 4 2 2 2" xfId="16734" xr:uid="{0FE1AFA2-0AA2-46AA-983E-500CDE179153}"/>
    <cellStyle name="Note 2 3 2 4 2 3" xfId="12516" xr:uid="{AE58F9CD-DBB6-4B45-9ED2-328D22CB40E9}"/>
    <cellStyle name="Note 2 3 2 4 3" xfId="6147" xr:uid="{00000000-0005-0000-0000-0000FB200000}"/>
    <cellStyle name="Note 2 3 2 4 3 2" xfId="14589" xr:uid="{C198FF86-E805-4F58-849E-DCA1C373E58D}"/>
    <cellStyle name="Note 2 3 2 4 4" xfId="10371" xr:uid="{623BE600-3FC1-4849-A974-6C10E6556A19}"/>
    <cellStyle name="Note 2 3 2 5" xfId="2253" xr:uid="{00000000-0005-0000-0000-0000FC200000}"/>
    <cellStyle name="Note 2 3 2 5 2" xfId="4482" xr:uid="{00000000-0005-0000-0000-0000FD200000}"/>
    <cellStyle name="Note 2 3 2 5 2 2" xfId="8705" xr:uid="{00000000-0005-0000-0000-0000FE200000}"/>
    <cellStyle name="Note 2 3 2 5 2 2 2" xfId="17147" xr:uid="{A1BC6DC0-1141-456E-9644-C1121FF398B1}"/>
    <cellStyle name="Note 2 3 2 5 2 3" xfId="12929" xr:uid="{16175C1F-960D-41CD-8A3C-8A1F0A716390}"/>
    <cellStyle name="Note 2 3 2 5 3" xfId="6560" xr:uid="{00000000-0005-0000-0000-0000FF200000}"/>
    <cellStyle name="Note 2 3 2 5 3 2" xfId="15002" xr:uid="{B21C5A06-FF05-47E6-B4DF-D62B673726FA}"/>
    <cellStyle name="Note 2 3 2 5 4" xfId="10784" xr:uid="{E5CECB10-7C30-4CB9-B4F7-2A07A80C59D1}"/>
    <cellStyle name="Note 2 3 2 6" xfId="2689" xr:uid="{00000000-0005-0000-0000-000000210000}"/>
    <cellStyle name="Note 2 3 2 6 2" xfId="6973" xr:uid="{00000000-0005-0000-0000-000001210000}"/>
    <cellStyle name="Note 2 3 2 6 2 2" xfId="15415" xr:uid="{CD68B6A5-ECB8-40B5-9297-BBC63F92D900}"/>
    <cellStyle name="Note 2 3 2 6 3" xfId="11197" xr:uid="{58D773AB-47D9-4D92-A002-D1B0B3FE447B}"/>
    <cellStyle name="Note 2 3 2 7" xfId="2748" xr:uid="{00000000-0005-0000-0000-000002210000}"/>
    <cellStyle name="Note 2 3 2 8" xfId="2829" xr:uid="{00000000-0005-0000-0000-000003210000}"/>
    <cellStyle name="Note 2 3 2 8 2" xfId="7053" xr:uid="{00000000-0005-0000-0000-000004210000}"/>
    <cellStyle name="Note 2 3 2 8 2 2" xfId="15495" xr:uid="{9694DC23-BF85-48A1-9CB5-9AEB1C2D7B98}"/>
    <cellStyle name="Note 2 3 2 8 3" xfId="11277" xr:uid="{9D9EF464-FEC8-409E-AAFE-40179D965CE5}"/>
    <cellStyle name="Note 2 3 2 9" xfId="4908" xr:uid="{00000000-0005-0000-0000-000005210000}"/>
    <cellStyle name="Note 2 3 2 9 2" xfId="13350" xr:uid="{528CBEEF-15B6-49B7-AB4C-3907CF69A1B1}"/>
    <cellStyle name="Note 2 3 3" xfId="1010" xr:uid="{00000000-0005-0000-0000-000006210000}"/>
    <cellStyle name="Note 2 3 3 2" xfId="3242" xr:uid="{00000000-0005-0000-0000-000007210000}"/>
    <cellStyle name="Note 2 3 3 2 2" xfId="7465" xr:uid="{00000000-0005-0000-0000-000008210000}"/>
    <cellStyle name="Note 2 3 3 2 2 2" xfId="15907" xr:uid="{AAE02C1D-AB8B-4D8D-9A7F-43F022467331}"/>
    <cellStyle name="Note 2 3 3 2 3" xfId="11689" xr:uid="{D20B3F05-8C73-4B3E-A974-C219F1395E47}"/>
    <cellStyle name="Note 2 3 3 3" xfId="5320" xr:uid="{00000000-0005-0000-0000-000009210000}"/>
    <cellStyle name="Note 2 3 3 3 2" xfId="13762" xr:uid="{74031571-2ABD-4831-B7E6-9F57B1B997E2}"/>
    <cellStyle name="Note 2 3 3 4" xfId="9544" xr:uid="{89855DCA-C89B-49A3-9FDC-16283E19948C}"/>
    <cellStyle name="Note 2 3 4" xfId="1425" xr:uid="{00000000-0005-0000-0000-00000A210000}"/>
    <cellStyle name="Note 2 3 4 2" xfId="3655" xr:uid="{00000000-0005-0000-0000-00000B210000}"/>
    <cellStyle name="Note 2 3 4 2 2" xfId="7878" xr:uid="{00000000-0005-0000-0000-00000C210000}"/>
    <cellStyle name="Note 2 3 4 2 2 2" xfId="16320" xr:uid="{F738EE38-5267-4625-A990-A703032E062C}"/>
    <cellStyle name="Note 2 3 4 2 3" xfId="12102" xr:uid="{6C2F0AC0-69B6-4F7B-A717-F221AA8B0526}"/>
    <cellStyle name="Note 2 3 4 3" xfId="5733" xr:uid="{00000000-0005-0000-0000-00000D210000}"/>
    <cellStyle name="Note 2 3 4 3 2" xfId="14175" xr:uid="{FDAEFEDB-D0F3-4686-BE11-EC1E27329265}"/>
    <cellStyle name="Note 2 3 4 4" xfId="9957" xr:uid="{6E022B58-8130-4E78-A729-437B2AB6347D}"/>
    <cellStyle name="Note 2 3 5" xfId="1839" xr:uid="{00000000-0005-0000-0000-00000E210000}"/>
    <cellStyle name="Note 2 3 5 2" xfId="4068" xr:uid="{00000000-0005-0000-0000-00000F210000}"/>
    <cellStyle name="Note 2 3 5 2 2" xfId="8291" xr:uid="{00000000-0005-0000-0000-000010210000}"/>
    <cellStyle name="Note 2 3 5 2 2 2" xfId="16733" xr:uid="{FEF68ED2-2C1E-41B9-A5BD-782C63CB3D75}"/>
    <cellStyle name="Note 2 3 5 2 3" xfId="12515" xr:uid="{C07FE4E9-3D88-4DFA-A262-4BEE80C23488}"/>
    <cellStyle name="Note 2 3 5 3" xfId="6146" xr:uid="{00000000-0005-0000-0000-000011210000}"/>
    <cellStyle name="Note 2 3 5 3 2" xfId="14588" xr:uid="{31B0D766-1B18-4A58-B6D2-89F768172AA7}"/>
    <cellStyle name="Note 2 3 5 4" xfId="10370" xr:uid="{8C875472-B14C-4910-9928-8A1EA650FCFE}"/>
    <cellStyle name="Note 2 3 6" xfId="2252" xr:uid="{00000000-0005-0000-0000-000012210000}"/>
    <cellStyle name="Note 2 3 6 2" xfId="4481" xr:uid="{00000000-0005-0000-0000-000013210000}"/>
    <cellStyle name="Note 2 3 6 2 2" xfId="8704" xr:uid="{00000000-0005-0000-0000-000014210000}"/>
    <cellStyle name="Note 2 3 6 2 2 2" xfId="17146" xr:uid="{4D38149D-08F4-4C94-BC7A-380A2E0D7C0D}"/>
    <cellStyle name="Note 2 3 6 2 3" xfId="12928" xr:uid="{7132ED6D-8AD8-472C-87BC-E4D7D60EE144}"/>
    <cellStyle name="Note 2 3 6 3" xfId="6559" xr:uid="{00000000-0005-0000-0000-000015210000}"/>
    <cellStyle name="Note 2 3 6 3 2" xfId="15001" xr:uid="{1DCB1DA0-635D-451A-A82F-71AE67CAFD7A}"/>
    <cellStyle name="Note 2 3 6 4" xfId="10783" xr:uid="{830A805D-4555-44AF-BF4C-6834B9751367}"/>
    <cellStyle name="Note 2 3 7" xfId="2688" xr:uid="{00000000-0005-0000-0000-000016210000}"/>
    <cellStyle name="Note 2 3 7 2" xfId="6972" xr:uid="{00000000-0005-0000-0000-000017210000}"/>
    <cellStyle name="Note 2 3 7 2 2" xfId="15414" xr:uid="{0E37C859-DBB8-4511-89B7-D5A385F0B7C9}"/>
    <cellStyle name="Note 2 3 7 3" xfId="11196" xr:uid="{19119D31-27BE-4D06-9B89-2EF8AA11A6C4}"/>
    <cellStyle name="Note 2 3 8" xfId="2747" xr:uid="{00000000-0005-0000-0000-000018210000}"/>
    <cellStyle name="Note 2 3 9" xfId="2828" xr:uid="{00000000-0005-0000-0000-000019210000}"/>
    <cellStyle name="Note 2 3 9 2" xfId="7052" xr:uid="{00000000-0005-0000-0000-00001A210000}"/>
    <cellStyle name="Note 2 3 9 2 2" xfId="15494" xr:uid="{EFA9E92F-1C3F-4739-A472-8BE11D3D6721}"/>
    <cellStyle name="Note 2 3 9 3" xfId="11276" xr:uid="{AD0B3706-9244-4C57-80A7-81BB21BE785A}"/>
    <cellStyle name="Note 2 4" xfId="551" xr:uid="{00000000-0005-0000-0000-00001B210000}"/>
    <cellStyle name="Note 2 4 10" xfId="9133" xr:uid="{97518C48-3D35-4A0B-9354-128E06C3D0AB}"/>
    <cellStyle name="Note 2 4 2" xfId="1012" xr:uid="{00000000-0005-0000-0000-00001C210000}"/>
    <cellStyle name="Note 2 4 2 2" xfId="3244" xr:uid="{00000000-0005-0000-0000-00001D210000}"/>
    <cellStyle name="Note 2 4 2 2 2" xfId="7467" xr:uid="{00000000-0005-0000-0000-00001E210000}"/>
    <cellStyle name="Note 2 4 2 2 2 2" xfId="15909" xr:uid="{7AC11A31-F716-4905-8B57-C18E1718A45E}"/>
    <cellStyle name="Note 2 4 2 2 3" xfId="11691" xr:uid="{119B0431-CB85-4D33-B8B1-9A2D584ACFAC}"/>
    <cellStyle name="Note 2 4 2 3" xfId="5322" xr:uid="{00000000-0005-0000-0000-00001F210000}"/>
    <cellStyle name="Note 2 4 2 3 2" xfId="13764" xr:uid="{02985033-50D6-431B-B1FE-19EB13A78A24}"/>
    <cellStyle name="Note 2 4 2 4" xfId="9546" xr:uid="{FBE732A8-F219-4858-9E37-B76C47EE6E3D}"/>
    <cellStyle name="Note 2 4 3" xfId="1427" xr:uid="{00000000-0005-0000-0000-000020210000}"/>
    <cellStyle name="Note 2 4 3 2" xfId="3657" xr:uid="{00000000-0005-0000-0000-000021210000}"/>
    <cellStyle name="Note 2 4 3 2 2" xfId="7880" xr:uid="{00000000-0005-0000-0000-000022210000}"/>
    <cellStyle name="Note 2 4 3 2 2 2" xfId="16322" xr:uid="{C6DF9E56-F6FC-4A87-82A8-32BB1232621F}"/>
    <cellStyle name="Note 2 4 3 2 3" xfId="12104" xr:uid="{6B0A4FA8-2875-4D39-BA1F-1BB2D98DDB46}"/>
    <cellStyle name="Note 2 4 3 3" xfId="5735" xr:uid="{00000000-0005-0000-0000-000023210000}"/>
    <cellStyle name="Note 2 4 3 3 2" xfId="14177" xr:uid="{0F03BF8E-A95F-4D6A-B7B0-4CB1054A2645}"/>
    <cellStyle name="Note 2 4 3 4" xfId="9959" xr:uid="{1449155A-DEA8-4A9E-8ABC-0520659D2F01}"/>
    <cellStyle name="Note 2 4 4" xfId="1841" xr:uid="{00000000-0005-0000-0000-000024210000}"/>
    <cellStyle name="Note 2 4 4 2" xfId="4070" xr:uid="{00000000-0005-0000-0000-000025210000}"/>
    <cellStyle name="Note 2 4 4 2 2" xfId="8293" xr:uid="{00000000-0005-0000-0000-000026210000}"/>
    <cellStyle name="Note 2 4 4 2 2 2" xfId="16735" xr:uid="{EDDAA254-7E35-4E9A-AEAC-DFB30C84A7E4}"/>
    <cellStyle name="Note 2 4 4 2 3" xfId="12517" xr:uid="{C36A97A6-226D-4B9B-935D-DA48154A006B}"/>
    <cellStyle name="Note 2 4 4 3" xfId="6148" xr:uid="{00000000-0005-0000-0000-000027210000}"/>
    <cellStyle name="Note 2 4 4 3 2" xfId="14590" xr:uid="{3B015A30-482C-404E-87FA-881524C14447}"/>
    <cellStyle name="Note 2 4 4 4" xfId="10372" xr:uid="{1BC6A10E-A799-4613-A934-36FB1C34E3A2}"/>
    <cellStyle name="Note 2 4 5" xfId="2254" xr:uid="{00000000-0005-0000-0000-000028210000}"/>
    <cellStyle name="Note 2 4 5 2" xfId="4483" xr:uid="{00000000-0005-0000-0000-000029210000}"/>
    <cellStyle name="Note 2 4 5 2 2" xfId="8706" xr:uid="{00000000-0005-0000-0000-00002A210000}"/>
    <cellStyle name="Note 2 4 5 2 2 2" xfId="17148" xr:uid="{2553A040-6A43-46F0-B3E2-1DE67364178D}"/>
    <cellStyle name="Note 2 4 5 2 3" xfId="12930" xr:uid="{B2B4C7D4-6172-4F57-848E-9E3B6EAA8BD9}"/>
    <cellStyle name="Note 2 4 5 3" xfId="6561" xr:uid="{00000000-0005-0000-0000-00002B210000}"/>
    <cellStyle name="Note 2 4 5 3 2" xfId="15003" xr:uid="{22DD8D9F-2BE2-4E49-AEA6-93968452F5DD}"/>
    <cellStyle name="Note 2 4 5 4" xfId="10785" xr:uid="{9B37EECD-778B-45D3-8B5B-38D2AF3761D8}"/>
    <cellStyle name="Note 2 4 6" xfId="2690" xr:uid="{00000000-0005-0000-0000-00002C210000}"/>
    <cellStyle name="Note 2 4 6 2" xfId="6974" xr:uid="{00000000-0005-0000-0000-00002D210000}"/>
    <cellStyle name="Note 2 4 6 2 2" xfId="15416" xr:uid="{84ECD8CD-BB6E-4EAC-8544-B1C197CB4E2B}"/>
    <cellStyle name="Note 2 4 6 3" xfId="11198" xr:uid="{D323CFD3-F148-40F7-9220-EDAB18C5F001}"/>
    <cellStyle name="Note 2 4 7" xfId="2749" xr:uid="{00000000-0005-0000-0000-00002E210000}"/>
    <cellStyle name="Note 2 4 8" xfId="2830" xr:uid="{00000000-0005-0000-0000-00002F210000}"/>
    <cellStyle name="Note 2 4 8 2" xfId="7054" xr:uid="{00000000-0005-0000-0000-000030210000}"/>
    <cellStyle name="Note 2 4 8 2 2" xfId="15496" xr:uid="{FAEE9951-0639-4B60-9A3B-55657949D4F0}"/>
    <cellStyle name="Note 2 4 8 3" xfId="11278" xr:uid="{09E32F59-B21F-4652-B219-CD937E0E5CD9}"/>
    <cellStyle name="Note 2 4 9" xfId="4909" xr:uid="{00000000-0005-0000-0000-000031210000}"/>
    <cellStyle name="Note 2 4 9 2" xfId="13351" xr:uid="{03400E14-31A3-4295-8B2F-F95895121A19}"/>
    <cellStyle name="Note 2 5" xfId="552" xr:uid="{00000000-0005-0000-0000-000032210000}"/>
    <cellStyle name="Note 2 5 10" xfId="9134" xr:uid="{E2874394-1173-4059-AA0D-F941FC88694D}"/>
    <cellStyle name="Note 2 5 2" xfId="1013" xr:uid="{00000000-0005-0000-0000-000033210000}"/>
    <cellStyle name="Note 2 5 2 2" xfId="3245" xr:uid="{00000000-0005-0000-0000-000034210000}"/>
    <cellStyle name="Note 2 5 2 2 2" xfId="7468" xr:uid="{00000000-0005-0000-0000-000035210000}"/>
    <cellStyle name="Note 2 5 2 2 2 2" xfId="15910" xr:uid="{0638D827-AB36-4AB2-98DA-6520C4064051}"/>
    <cellStyle name="Note 2 5 2 2 3" xfId="11692" xr:uid="{30893EB6-F7DB-49C5-BD79-EA3D52F8AC84}"/>
    <cellStyle name="Note 2 5 2 3" xfId="5323" xr:uid="{00000000-0005-0000-0000-000036210000}"/>
    <cellStyle name="Note 2 5 2 3 2" xfId="13765" xr:uid="{396FCFDA-084E-4B8E-A365-826E658C6F88}"/>
    <cellStyle name="Note 2 5 2 4" xfId="9547" xr:uid="{34448804-BD18-4EE9-A127-22F2655B808E}"/>
    <cellStyle name="Note 2 5 3" xfId="1428" xr:uid="{00000000-0005-0000-0000-000037210000}"/>
    <cellStyle name="Note 2 5 3 2" xfId="3658" xr:uid="{00000000-0005-0000-0000-000038210000}"/>
    <cellStyle name="Note 2 5 3 2 2" xfId="7881" xr:uid="{00000000-0005-0000-0000-000039210000}"/>
    <cellStyle name="Note 2 5 3 2 2 2" xfId="16323" xr:uid="{DADEFB4F-0064-4DE3-B762-DFC568E69C6D}"/>
    <cellStyle name="Note 2 5 3 2 3" xfId="12105" xr:uid="{20F5F6DB-60B6-4504-BBF7-ED7149736C7A}"/>
    <cellStyle name="Note 2 5 3 3" xfId="5736" xr:uid="{00000000-0005-0000-0000-00003A210000}"/>
    <cellStyle name="Note 2 5 3 3 2" xfId="14178" xr:uid="{C448A5ED-0E7D-49AB-B683-18195FFB4F0A}"/>
    <cellStyle name="Note 2 5 3 4" xfId="9960" xr:uid="{EA52185B-AF57-4CDB-98B3-9671BC9C209A}"/>
    <cellStyle name="Note 2 5 4" xfId="1842" xr:uid="{00000000-0005-0000-0000-00003B210000}"/>
    <cellStyle name="Note 2 5 4 2" xfId="4071" xr:uid="{00000000-0005-0000-0000-00003C210000}"/>
    <cellStyle name="Note 2 5 4 2 2" xfId="8294" xr:uid="{00000000-0005-0000-0000-00003D210000}"/>
    <cellStyle name="Note 2 5 4 2 2 2" xfId="16736" xr:uid="{A544628D-53DF-41FF-93CE-24F4C9BE6700}"/>
    <cellStyle name="Note 2 5 4 2 3" xfId="12518" xr:uid="{D2E88953-3E05-48CE-8B5C-771F1AF39978}"/>
    <cellStyle name="Note 2 5 4 3" xfId="6149" xr:uid="{00000000-0005-0000-0000-00003E210000}"/>
    <cellStyle name="Note 2 5 4 3 2" xfId="14591" xr:uid="{49E9EC38-70C7-41F4-9C8C-A9D6BC1B4A60}"/>
    <cellStyle name="Note 2 5 4 4" xfId="10373" xr:uid="{BC38C2E1-A03C-4FAD-A652-2030145EF407}"/>
    <cellStyle name="Note 2 5 5" xfId="2255" xr:uid="{00000000-0005-0000-0000-00003F210000}"/>
    <cellStyle name="Note 2 5 5 2" xfId="4484" xr:uid="{00000000-0005-0000-0000-000040210000}"/>
    <cellStyle name="Note 2 5 5 2 2" xfId="8707" xr:uid="{00000000-0005-0000-0000-000041210000}"/>
    <cellStyle name="Note 2 5 5 2 2 2" xfId="17149" xr:uid="{7B218075-5783-45F6-A8FD-39B7F2AA8392}"/>
    <cellStyle name="Note 2 5 5 2 3" xfId="12931" xr:uid="{4384C9D1-9924-4351-874E-35E1D068E90F}"/>
    <cellStyle name="Note 2 5 5 3" xfId="6562" xr:uid="{00000000-0005-0000-0000-000042210000}"/>
    <cellStyle name="Note 2 5 5 3 2" xfId="15004" xr:uid="{65F490C9-E17F-4E3A-A1C3-96DF83B34485}"/>
    <cellStyle name="Note 2 5 5 4" xfId="10786" xr:uid="{91DFCE98-4452-4556-9B29-D6B47CC1A8B1}"/>
    <cellStyle name="Note 2 5 6" xfId="2691" xr:uid="{00000000-0005-0000-0000-000043210000}"/>
    <cellStyle name="Note 2 5 6 2" xfId="6975" xr:uid="{00000000-0005-0000-0000-000044210000}"/>
    <cellStyle name="Note 2 5 6 2 2" xfId="15417" xr:uid="{F104278E-42FF-4DCF-AD65-441F8DA8FAAD}"/>
    <cellStyle name="Note 2 5 6 3" xfId="11199" xr:uid="{63EB1943-FA32-44C7-A4AD-931ADAB77EAA}"/>
    <cellStyle name="Note 2 5 7" xfId="2750" xr:uid="{00000000-0005-0000-0000-000045210000}"/>
    <cellStyle name="Note 2 5 8" xfId="2831" xr:uid="{00000000-0005-0000-0000-000046210000}"/>
    <cellStyle name="Note 2 5 8 2" xfId="7055" xr:uid="{00000000-0005-0000-0000-000047210000}"/>
    <cellStyle name="Note 2 5 8 2 2" xfId="15497" xr:uid="{60500CFC-2D13-490E-AEA4-B05528E83659}"/>
    <cellStyle name="Note 2 5 8 3" xfId="11279" xr:uid="{CB14F3EA-6F9B-42BE-8CC7-F731A879676C}"/>
    <cellStyle name="Note 2 5 9" xfId="4910" xr:uid="{00000000-0005-0000-0000-000048210000}"/>
    <cellStyle name="Note 2 5 9 2" xfId="13352" xr:uid="{733E70CF-C7EB-49DF-9309-4775BAFEE1AE}"/>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03BB34BF-B100-4207-9BA7-4C314099032A}"/>
    <cellStyle name="Note 3 2 10 3" xfId="11280" xr:uid="{39E47D1B-9441-49AF-9A1F-74BB5F7360F6}"/>
    <cellStyle name="Note 3 2 11" xfId="4911" xr:uid="{00000000-0005-0000-0000-00004D210000}"/>
    <cellStyle name="Note 3 2 11 2" xfId="13353" xr:uid="{05605755-229A-471A-8921-BBCE6FA8C025}"/>
    <cellStyle name="Note 3 2 12" xfId="9135" xr:uid="{E3ABEE90-7280-4E3B-A593-0CE76D527FA5}"/>
    <cellStyle name="Note 3 2 2" xfId="555" xr:uid="{00000000-0005-0000-0000-00004E210000}"/>
    <cellStyle name="Note 3 2 2 10" xfId="4912" xr:uid="{00000000-0005-0000-0000-00004F210000}"/>
    <cellStyle name="Note 3 2 2 10 2" xfId="13354" xr:uid="{76D3B51E-8AD4-46B2-9353-7BBBFAF9A37F}"/>
    <cellStyle name="Note 3 2 2 11" xfId="9136" xr:uid="{3568653C-F280-4796-8909-331E9B423AE1}"/>
    <cellStyle name="Note 3 2 2 2" xfId="556" xr:uid="{00000000-0005-0000-0000-000050210000}"/>
    <cellStyle name="Note 3 2 2 2 10" xfId="9137" xr:uid="{A89C4FFB-C3DE-42BE-BC8F-3CE5ECDE757C}"/>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8536DE13-FD80-4C36-A1F8-7956C5F171EF}"/>
    <cellStyle name="Note 3 2 2 2 2 2 3" xfId="11695" xr:uid="{3E13A12C-F6A0-4F2D-8EA8-2E1A6EE79CFB}"/>
    <cellStyle name="Note 3 2 2 2 2 3" xfId="5326" xr:uid="{00000000-0005-0000-0000-000054210000}"/>
    <cellStyle name="Note 3 2 2 2 2 3 2" xfId="13768" xr:uid="{871323C4-FBA0-4C13-A3C7-1E34144420D3}"/>
    <cellStyle name="Note 3 2 2 2 2 4" xfId="9550" xr:uid="{94B38573-8C67-418F-A71A-106011BDD664}"/>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B89C431E-9E2D-4DE1-A44E-D5CE6670CD53}"/>
    <cellStyle name="Note 3 2 2 2 3 2 3" xfId="12108" xr:uid="{53A48EEE-2137-4956-9C33-25473346B8EC}"/>
    <cellStyle name="Note 3 2 2 2 3 3" xfId="5739" xr:uid="{00000000-0005-0000-0000-000058210000}"/>
    <cellStyle name="Note 3 2 2 2 3 3 2" xfId="14181" xr:uid="{614C26C3-0587-4DFC-98F2-AFF7441E41CA}"/>
    <cellStyle name="Note 3 2 2 2 3 4" xfId="9963" xr:uid="{E3903FD8-2394-4250-B222-DDEAF5B646AF}"/>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84FC2ECF-C0B6-4146-94CB-642DE2564C91}"/>
    <cellStyle name="Note 3 2 2 2 4 2 3" xfId="12521" xr:uid="{BFC657AB-F6E6-474D-A381-56D523B03F38}"/>
    <cellStyle name="Note 3 2 2 2 4 3" xfId="6152" xr:uid="{00000000-0005-0000-0000-00005C210000}"/>
    <cellStyle name="Note 3 2 2 2 4 3 2" xfId="14594" xr:uid="{2F5E1361-9598-4F41-92C8-815271FE5071}"/>
    <cellStyle name="Note 3 2 2 2 4 4" xfId="10376" xr:uid="{AFE68496-54DD-42B4-80A9-5390AED3FBCE}"/>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31C74310-71F1-4F20-9F77-A851D1794EE2}"/>
    <cellStyle name="Note 3 2 2 2 5 2 3" xfId="12934" xr:uid="{4A60296C-AD1C-42AF-BEC4-8B926E914E4B}"/>
    <cellStyle name="Note 3 2 2 2 5 3" xfId="6565" xr:uid="{00000000-0005-0000-0000-000060210000}"/>
    <cellStyle name="Note 3 2 2 2 5 3 2" xfId="15007" xr:uid="{84063A34-572B-4F66-A8D9-C327243A8441}"/>
    <cellStyle name="Note 3 2 2 2 5 4" xfId="10789" xr:uid="{B5333DE6-3F8B-4C6F-A6AF-B31B10C31C60}"/>
    <cellStyle name="Note 3 2 2 2 6" xfId="2694" xr:uid="{00000000-0005-0000-0000-000061210000}"/>
    <cellStyle name="Note 3 2 2 2 6 2" xfId="6978" xr:uid="{00000000-0005-0000-0000-000062210000}"/>
    <cellStyle name="Note 3 2 2 2 6 2 2" xfId="15420" xr:uid="{7341FA13-4363-4A91-B49D-20677D1FAF01}"/>
    <cellStyle name="Note 3 2 2 2 6 3" xfId="11202" xr:uid="{2EC3F512-94C3-428B-B957-30D30F803658}"/>
    <cellStyle name="Note 3 2 2 2 7" xfId="2753" xr:uid="{00000000-0005-0000-0000-000063210000}"/>
    <cellStyle name="Note 3 2 2 2 8" xfId="2834" xr:uid="{00000000-0005-0000-0000-000064210000}"/>
    <cellStyle name="Note 3 2 2 2 8 2" xfId="7058" xr:uid="{00000000-0005-0000-0000-000065210000}"/>
    <cellStyle name="Note 3 2 2 2 8 2 2" xfId="15500" xr:uid="{88B18EFB-7153-4A33-B506-63EFE3F25488}"/>
    <cellStyle name="Note 3 2 2 2 8 3" xfId="11282" xr:uid="{5B4B3BA9-F6D0-4C05-9E4A-C71A958CA718}"/>
    <cellStyle name="Note 3 2 2 2 9" xfId="4913" xr:uid="{00000000-0005-0000-0000-000066210000}"/>
    <cellStyle name="Note 3 2 2 2 9 2" xfId="13355" xr:uid="{0C112E57-0E2B-4CAF-8C2E-004F30DE29F9}"/>
    <cellStyle name="Note 3 2 2 3" xfId="1015" xr:uid="{00000000-0005-0000-0000-000067210000}"/>
    <cellStyle name="Note 3 2 2 3 2" xfId="3247" xr:uid="{00000000-0005-0000-0000-000068210000}"/>
    <cellStyle name="Note 3 2 2 3 2 2" xfId="7470" xr:uid="{00000000-0005-0000-0000-000069210000}"/>
    <cellStyle name="Note 3 2 2 3 2 2 2" xfId="15912" xr:uid="{A901C8B2-10E1-4F24-86EC-6C586B415BE0}"/>
    <cellStyle name="Note 3 2 2 3 2 3" xfId="11694" xr:uid="{FE28DB74-578A-4B5E-8F13-CA13DE1C8258}"/>
    <cellStyle name="Note 3 2 2 3 3" xfId="5325" xr:uid="{00000000-0005-0000-0000-00006A210000}"/>
    <cellStyle name="Note 3 2 2 3 3 2" xfId="13767" xr:uid="{F84C83AE-CBF4-430F-B3AF-4D678E43CB2B}"/>
    <cellStyle name="Note 3 2 2 3 4" xfId="9549" xr:uid="{F0FF14D2-C1BA-41C3-8B3E-24890D285B09}"/>
    <cellStyle name="Note 3 2 2 4" xfId="1430" xr:uid="{00000000-0005-0000-0000-00006B210000}"/>
    <cellStyle name="Note 3 2 2 4 2" xfId="3660" xr:uid="{00000000-0005-0000-0000-00006C210000}"/>
    <cellStyle name="Note 3 2 2 4 2 2" xfId="7883" xr:uid="{00000000-0005-0000-0000-00006D210000}"/>
    <cellStyle name="Note 3 2 2 4 2 2 2" xfId="16325" xr:uid="{47A67A6F-2EC9-4878-B021-39DB791825C7}"/>
    <cellStyle name="Note 3 2 2 4 2 3" xfId="12107" xr:uid="{51C4EB61-4098-49DE-976F-39DE2F84474F}"/>
    <cellStyle name="Note 3 2 2 4 3" xfId="5738" xr:uid="{00000000-0005-0000-0000-00006E210000}"/>
    <cellStyle name="Note 3 2 2 4 3 2" xfId="14180" xr:uid="{ABD943A1-0E1F-44D3-8E65-FD911BAE3581}"/>
    <cellStyle name="Note 3 2 2 4 4" xfId="9962" xr:uid="{A5F6BF97-B4B4-4B46-A239-3663A18A0A31}"/>
    <cellStyle name="Note 3 2 2 5" xfId="1844" xr:uid="{00000000-0005-0000-0000-00006F210000}"/>
    <cellStyle name="Note 3 2 2 5 2" xfId="4073" xr:uid="{00000000-0005-0000-0000-000070210000}"/>
    <cellStyle name="Note 3 2 2 5 2 2" xfId="8296" xr:uid="{00000000-0005-0000-0000-000071210000}"/>
    <cellStyle name="Note 3 2 2 5 2 2 2" xfId="16738" xr:uid="{87E47676-D4B6-49B0-BBE2-4EDE2C6466CC}"/>
    <cellStyle name="Note 3 2 2 5 2 3" xfId="12520" xr:uid="{36F55DEE-4397-4C09-89FC-564E31CA0B67}"/>
    <cellStyle name="Note 3 2 2 5 3" xfId="6151" xr:uid="{00000000-0005-0000-0000-000072210000}"/>
    <cellStyle name="Note 3 2 2 5 3 2" xfId="14593" xr:uid="{8AFBECDF-E6D8-4123-AAE0-100DF2583B2B}"/>
    <cellStyle name="Note 3 2 2 5 4" xfId="10375" xr:uid="{48614E1C-FD91-41C2-8E7D-6F7CE5BE7E0F}"/>
    <cellStyle name="Note 3 2 2 6" xfId="2257" xr:uid="{00000000-0005-0000-0000-000073210000}"/>
    <cellStyle name="Note 3 2 2 6 2" xfId="4486" xr:uid="{00000000-0005-0000-0000-000074210000}"/>
    <cellStyle name="Note 3 2 2 6 2 2" xfId="8709" xr:uid="{00000000-0005-0000-0000-000075210000}"/>
    <cellStyle name="Note 3 2 2 6 2 2 2" xfId="17151" xr:uid="{3FA278AF-4F97-4D57-AD70-685345E9E5D5}"/>
    <cellStyle name="Note 3 2 2 6 2 3" xfId="12933" xr:uid="{8B513ADA-616A-496F-9680-77CCD93D853D}"/>
    <cellStyle name="Note 3 2 2 6 3" xfId="6564" xr:uid="{00000000-0005-0000-0000-000076210000}"/>
    <cellStyle name="Note 3 2 2 6 3 2" xfId="15006" xr:uid="{B9C8F52E-567F-403B-8719-97246A233FC1}"/>
    <cellStyle name="Note 3 2 2 6 4" xfId="10788" xr:uid="{3C5037DF-8B10-4EBF-A5C3-5D57ABC686DA}"/>
    <cellStyle name="Note 3 2 2 7" xfId="2693" xr:uid="{00000000-0005-0000-0000-000077210000}"/>
    <cellStyle name="Note 3 2 2 7 2" xfId="6977" xr:uid="{00000000-0005-0000-0000-000078210000}"/>
    <cellStyle name="Note 3 2 2 7 2 2" xfId="15419" xr:uid="{26F40506-DD11-4B21-90CD-C82B10AEEB02}"/>
    <cellStyle name="Note 3 2 2 7 3" xfId="11201" xr:uid="{DBF1008C-36A0-46DF-8DD9-DE22E8280524}"/>
    <cellStyle name="Note 3 2 2 8" xfId="2752" xr:uid="{00000000-0005-0000-0000-000079210000}"/>
    <cellStyle name="Note 3 2 2 9" xfId="2833" xr:uid="{00000000-0005-0000-0000-00007A210000}"/>
    <cellStyle name="Note 3 2 2 9 2" xfId="7057" xr:uid="{00000000-0005-0000-0000-00007B210000}"/>
    <cellStyle name="Note 3 2 2 9 2 2" xfId="15499" xr:uid="{D328511E-D335-4FC0-A926-F404CBCB6926}"/>
    <cellStyle name="Note 3 2 2 9 3" xfId="11281" xr:uid="{01718A77-C914-4950-832D-1FF0DF6FB042}"/>
    <cellStyle name="Note 3 2 3" xfId="557" xr:uid="{00000000-0005-0000-0000-00007C210000}"/>
    <cellStyle name="Note 3 2 3 10" xfId="9138" xr:uid="{D827A957-5F8C-4FF3-9329-E5504DC13A88}"/>
    <cellStyle name="Note 3 2 3 2" xfId="1017" xr:uid="{00000000-0005-0000-0000-00007D210000}"/>
    <cellStyle name="Note 3 2 3 2 2" xfId="3249" xr:uid="{00000000-0005-0000-0000-00007E210000}"/>
    <cellStyle name="Note 3 2 3 2 2 2" xfId="7472" xr:uid="{00000000-0005-0000-0000-00007F210000}"/>
    <cellStyle name="Note 3 2 3 2 2 2 2" xfId="15914" xr:uid="{B828E9C8-397C-4A6F-9413-245C884446BD}"/>
    <cellStyle name="Note 3 2 3 2 2 3" xfId="11696" xr:uid="{85A9AB86-38A6-4AF7-9A8E-216DA0D6BE63}"/>
    <cellStyle name="Note 3 2 3 2 3" xfId="5327" xr:uid="{00000000-0005-0000-0000-000080210000}"/>
    <cellStyle name="Note 3 2 3 2 3 2" xfId="13769" xr:uid="{2F6FECAD-F3F3-4D7F-9A7C-BB6BDF2959E3}"/>
    <cellStyle name="Note 3 2 3 2 4" xfId="9551" xr:uid="{4888EFAC-330A-499D-A039-8BE429AD8A6E}"/>
    <cellStyle name="Note 3 2 3 3" xfId="1432" xr:uid="{00000000-0005-0000-0000-000081210000}"/>
    <cellStyle name="Note 3 2 3 3 2" xfId="3662" xr:uid="{00000000-0005-0000-0000-000082210000}"/>
    <cellStyle name="Note 3 2 3 3 2 2" xfId="7885" xr:uid="{00000000-0005-0000-0000-000083210000}"/>
    <cellStyle name="Note 3 2 3 3 2 2 2" xfId="16327" xr:uid="{402B98BA-571B-431E-99E1-55D83BE71C4F}"/>
    <cellStyle name="Note 3 2 3 3 2 3" xfId="12109" xr:uid="{31EAC29E-5F15-4F65-B8FD-4DF8561D9F92}"/>
    <cellStyle name="Note 3 2 3 3 3" xfId="5740" xr:uid="{00000000-0005-0000-0000-000084210000}"/>
    <cellStyle name="Note 3 2 3 3 3 2" xfId="14182" xr:uid="{760ED856-C8C4-4DFE-83F9-895699D4AD89}"/>
    <cellStyle name="Note 3 2 3 3 4" xfId="9964" xr:uid="{F9C17D8B-1B01-4832-823C-0BFA007CB15B}"/>
    <cellStyle name="Note 3 2 3 4" xfId="1846" xr:uid="{00000000-0005-0000-0000-000085210000}"/>
    <cellStyle name="Note 3 2 3 4 2" xfId="4075" xr:uid="{00000000-0005-0000-0000-000086210000}"/>
    <cellStyle name="Note 3 2 3 4 2 2" xfId="8298" xr:uid="{00000000-0005-0000-0000-000087210000}"/>
    <cellStyle name="Note 3 2 3 4 2 2 2" xfId="16740" xr:uid="{66783A3B-3826-4E3C-8065-A21F2BB56603}"/>
    <cellStyle name="Note 3 2 3 4 2 3" xfId="12522" xr:uid="{984E502E-08B1-4554-B23F-AE88BFC52454}"/>
    <cellStyle name="Note 3 2 3 4 3" xfId="6153" xr:uid="{00000000-0005-0000-0000-000088210000}"/>
    <cellStyle name="Note 3 2 3 4 3 2" xfId="14595" xr:uid="{1A151948-0290-4E6F-8FAB-CFFA42FF4FA0}"/>
    <cellStyle name="Note 3 2 3 4 4" xfId="10377" xr:uid="{A179C11F-81DE-452B-9320-5E3AD5874332}"/>
    <cellStyle name="Note 3 2 3 5" xfId="2259" xr:uid="{00000000-0005-0000-0000-000089210000}"/>
    <cellStyle name="Note 3 2 3 5 2" xfId="4488" xr:uid="{00000000-0005-0000-0000-00008A210000}"/>
    <cellStyle name="Note 3 2 3 5 2 2" xfId="8711" xr:uid="{00000000-0005-0000-0000-00008B210000}"/>
    <cellStyle name="Note 3 2 3 5 2 2 2" xfId="17153" xr:uid="{626D1D45-1A57-4F74-AB9E-587445F990C4}"/>
    <cellStyle name="Note 3 2 3 5 2 3" xfId="12935" xr:uid="{29F48F36-EB50-468B-AB07-2E469DE3FFEE}"/>
    <cellStyle name="Note 3 2 3 5 3" xfId="6566" xr:uid="{00000000-0005-0000-0000-00008C210000}"/>
    <cellStyle name="Note 3 2 3 5 3 2" xfId="15008" xr:uid="{7F649B2A-D839-4A28-A1FF-4A25B454DC71}"/>
    <cellStyle name="Note 3 2 3 5 4" xfId="10790" xr:uid="{255EDFBC-96F8-4343-AB32-0008E0077ABF}"/>
    <cellStyle name="Note 3 2 3 6" xfId="2695" xr:uid="{00000000-0005-0000-0000-00008D210000}"/>
    <cellStyle name="Note 3 2 3 6 2" xfId="6979" xr:uid="{00000000-0005-0000-0000-00008E210000}"/>
    <cellStyle name="Note 3 2 3 6 2 2" xfId="15421" xr:uid="{4A4D7CD5-DB1E-45F1-962E-56E4D548334A}"/>
    <cellStyle name="Note 3 2 3 6 3" xfId="11203" xr:uid="{14A9E15B-0285-4E9C-9198-C19C790FEA24}"/>
    <cellStyle name="Note 3 2 3 7" xfId="2754" xr:uid="{00000000-0005-0000-0000-00008F210000}"/>
    <cellStyle name="Note 3 2 3 8" xfId="2835" xr:uid="{00000000-0005-0000-0000-000090210000}"/>
    <cellStyle name="Note 3 2 3 8 2" xfId="7059" xr:uid="{00000000-0005-0000-0000-000091210000}"/>
    <cellStyle name="Note 3 2 3 8 2 2" xfId="15501" xr:uid="{D0A763D0-9FAD-4FDD-9863-4D52E982202C}"/>
    <cellStyle name="Note 3 2 3 8 3" xfId="11283" xr:uid="{1E52E111-4021-4311-A5FD-624A5DCCC583}"/>
    <cellStyle name="Note 3 2 3 9" xfId="4914" xr:uid="{00000000-0005-0000-0000-000092210000}"/>
    <cellStyle name="Note 3 2 3 9 2" xfId="13356" xr:uid="{37FC7676-8702-403D-8E6B-3A39DA26AA29}"/>
    <cellStyle name="Note 3 2 4" xfId="1014" xr:uid="{00000000-0005-0000-0000-000093210000}"/>
    <cellStyle name="Note 3 2 4 2" xfId="3246" xr:uid="{00000000-0005-0000-0000-000094210000}"/>
    <cellStyle name="Note 3 2 4 2 2" xfId="7469" xr:uid="{00000000-0005-0000-0000-000095210000}"/>
    <cellStyle name="Note 3 2 4 2 2 2" xfId="15911" xr:uid="{A43DD6FF-15EA-421F-993E-E1C8AFE93EB8}"/>
    <cellStyle name="Note 3 2 4 2 3" xfId="11693" xr:uid="{0439FE00-6D08-464C-AF55-F5D922BE9747}"/>
    <cellStyle name="Note 3 2 4 3" xfId="5324" xr:uid="{00000000-0005-0000-0000-000096210000}"/>
    <cellStyle name="Note 3 2 4 3 2" xfId="13766" xr:uid="{FBB28262-4BBC-4676-AB77-6939D2ECC098}"/>
    <cellStyle name="Note 3 2 4 4" xfId="9548" xr:uid="{471DB4BD-AB92-4F81-976B-700962169B40}"/>
    <cellStyle name="Note 3 2 5" xfId="1429" xr:uid="{00000000-0005-0000-0000-000097210000}"/>
    <cellStyle name="Note 3 2 5 2" xfId="3659" xr:uid="{00000000-0005-0000-0000-000098210000}"/>
    <cellStyle name="Note 3 2 5 2 2" xfId="7882" xr:uid="{00000000-0005-0000-0000-000099210000}"/>
    <cellStyle name="Note 3 2 5 2 2 2" xfId="16324" xr:uid="{DC67764C-5393-4665-8891-834156EAD0A7}"/>
    <cellStyle name="Note 3 2 5 2 3" xfId="12106" xr:uid="{3855EB10-22A3-433C-81E1-4C53DDDF9881}"/>
    <cellStyle name="Note 3 2 5 3" xfId="5737" xr:uid="{00000000-0005-0000-0000-00009A210000}"/>
    <cellStyle name="Note 3 2 5 3 2" xfId="14179" xr:uid="{38C53240-F726-4595-89DF-3D038E2715B2}"/>
    <cellStyle name="Note 3 2 5 4" xfId="9961" xr:uid="{3CAF2EBB-0BFC-48DC-919E-38A2C85DD47B}"/>
    <cellStyle name="Note 3 2 6" xfId="1843" xr:uid="{00000000-0005-0000-0000-00009B210000}"/>
    <cellStyle name="Note 3 2 6 2" xfId="4072" xr:uid="{00000000-0005-0000-0000-00009C210000}"/>
    <cellStyle name="Note 3 2 6 2 2" xfId="8295" xr:uid="{00000000-0005-0000-0000-00009D210000}"/>
    <cellStyle name="Note 3 2 6 2 2 2" xfId="16737" xr:uid="{14CD096D-7252-4FCA-8ABF-14CF6867EA47}"/>
    <cellStyle name="Note 3 2 6 2 3" xfId="12519" xr:uid="{159ACB0E-CECA-40EF-98FF-6A310BE21867}"/>
    <cellStyle name="Note 3 2 6 3" xfId="6150" xr:uid="{00000000-0005-0000-0000-00009E210000}"/>
    <cellStyle name="Note 3 2 6 3 2" xfId="14592" xr:uid="{39A2E94A-F28B-4BCE-BE84-83AE2690FCF2}"/>
    <cellStyle name="Note 3 2 6 4" xfId="10374" xr:uid="{0C484A98-1879-426E-AF62-73E8D6E3C58B}"/>
    <cellStyle name="Note 3 2 7" xfId="2256" xr:uid="{00000000-0005-0000-0000-00009F210000}"/>
    <cellStyle name="Note 3 2 7 2" xfId="4485" xr:uid="{00000000-0005-0000-0000-0000A0210000}"/>
    <cellStyle name="Note 3 2 7 2 2" xfId="8708" xr:uid="{00000000-0005-0000-0000-0000A1210000}"/>
    <cellStyle name="Note 3 2 7 2 2 2" xfId="17150" xr:uid="{925CA54F-591B-40BA-92D1-84EC29F311D1}"/>
    <cellStyle name="Note 3 2 7 2 3" xfId="12932" xr:uid="{A6E50916-65B1-45F4-ABA6-08B996F8C311}"/>
    <cellStyle name="Note 3 2 7 3" xfId="6563" xr:uid="{00000000-0005-0000-0000-0000A2210000}"/>
    <cellStyle name="Note 3 2 7 3 2" xfId="15005" xr:uid="{5F236A6F-8142-459A-B83A-50BCC0B31EB9}"/>
    <cellStyle name="Note 3 2 7 4" xfId="10787" xr:uid="{C6990DDF-1249-4785-9663-AD51615FD5BD}"/>
    <cellStyle name="Note 3 2 8" xfId="2692" xr:uid="{00000000-0005-0000-0000-0000A3210000}"/>
    <cellStyle name="Note 3 2 8 2" xfId="6976" xr:uid="{00000000-0005-0000-0000-0000A4210000}"/>
    <cellStyle name="Note 3 2 8 2 2" xfId="15418" xr:uid="{32A85DC0-47F0-4A77-8A87-695F60071C26}"/>
    <cellStyle name="Note 3 2 8 3" xfId="11200" xr:uid="{4399F922-046E-42E9-AAA7-9AD603A41E92}"/>
    <cellStyle name="Note 3 2 9" xfId="2751" xr:uid="{00000000-0005-0000-0000-0000A5210000}"/>
    <cellStyle name="Note 3 3" xfId="558" xr:uid="{00000000-0005-0000-0000-0000A6210000}"/>
    <cellStyle name="Note 3 3 10" xfId="4915" xr:uid="{00000000-0005-0000-0000-0000A7210000}"/>
    <cellStyle name="Note 3 3 10 2" xfId="13357" xr:uid="{EB4D4E32-7E89-44AD-A11A-847C06EFE652}"/>
    <cellStyle name="Note 3 3 11" xfId="9139" xr:uid="{F0817FFD-FE8F-4FB1-9340-FB01F87E9777}"/>
    <cellStyle name="Note 3 3 2" xfId="559" xr:uid="{00000000-0005-0000-0000-0000A8210000}"/>
    <cellStyle name="Note 3 3 2 10" xfId="9140" xr:uid="{4DFA3753-E908-4AB1-A4A0-6228B84B0D6A}"/>
    <cellStyle name="Note 3 3 2 2" xfId="1019" xr:uid="{00000000-0005-0000-0000-0000A9210000}"/>
    <cellStyle name="Note 3 3 2 2 2" xfId="3251" xr:uid="{00000000-0005-0000-0000-0000AA210000}"/>
    <cellStyle name="Note 3 3 2 2 2 2" xfId="7474" xr:uid="{00000000-0005-0000-0000-0000AB210000}"/>
    <cellStyle name="Note 3 3 2 2 2 2 2" xfId="15916" xr:uid="{C11BC0E1-3AF5-4F78-83F7-5CC039F2BABB}"/>
    <cellStyle name="Note 3 3 2 2 2 3" xfId="11698" xr:uid="{9D28E20B-2780-4133-9E08-6ADEFF36D37B}"/>
    <cellStyle name="Note 3 3 2 2 3" xfId="5329" xr:uid="{00000000-0005-0000-0000-0000AC210000}"/>
    <cellStyle name="Note 3 3 2 2 3 2" xfId="13771" xr:uid="{51A92DAE-5B0A-4AE7-93F3-6FF3B97FA9BB}"/>
    <cellStyle name="Note 3 3 2 2 4" xfId="9553" xr:uid="{41762583-ECF2-4A77-90C4-E856B6C5CF91}"/>
    <cellStyle name="Note 3 3 2 3" xfId="1434" xr:uid="{00000000-0005-0000-0000-0000AD210000}"/>
    <cellStyle name="Note 3 3 2 3 2" xfId="3664" xr:uid="{00000000-0005-0000-0000-0000AE210000}"/>
    <cellStyle name="Note 3 3 2 3 2 2" xfId="7887" xr:uid="{00000000-0005-0000-0000-0000AF210000}"/>
    <cellStyle name="Note 3 3 2 3 2 2 2" xfId="16329" xr:uid="{69E23DBE-A76A-4273-88FC-9EB5A5F68DD2}"/>
    <cellStyle name="Note 3 3 2 3 2 3" xfId="12111" xr:uid="{66228F39-FB46-449A-AF2A-CB6F97ECF75A}"/>
    <cellStyle name="Note 3 3 2 3 3" xfId="5742" xr:uid="{00000000-0005-0000-0000-0000B0210000}"/>
    <cellStyle name="Note 3 3 2 3 3 2" xfId="14184" xr:uid="{1AD24F93-A675-4E89-943F-8482D209C1C2}"/>
    <cellStyle name="Note 3 3 2 3 4" xfId="9966" xr:uid="{9363C016-8661-4F3E-AC77-21AC48123E67}"/>
    <cellStyle name="Note 3 3 2 4" xfId="1848" xr:uid="{00000000-0005-0000-0000-0000B1210000}"/>
    <cellStyle name="Note 3 3 2 4 2" xfId="4077" xr:uid="{00000000-0005-0000-0000-0000B2210000}"/>
    <cellStyle name="Note 3 3 2 4 2 2" xfId="8300" xr:uid="{00000000-0005-0000-0000-0000B3210000}"/>
    <cellStyle name="Note 3 3 2 4 2 2 2" xfId="16742" xr:uid="{E628F55E-47FB-4791-9B64-E1A70AB2644C}"/>
    <cellStyle name="Note 3 3 2 4 2 3" xfId="12524" xr:uid="{ACD9A624-9849-41BC-99A1-5C9EEBEDFD8B}"/>
    <cellStyle name="Note 3 3 2 4 3" xfId="6155" xr:uid="{00000000-0005-0000-0000-0000B4210000}"/>
    <cellStyle name="Note 3 3 2 4 3 2" xfId="14597" xr:uid="{2C50DEE4-E494-4B91-8F1C-52311881C308}"/>
    <cellStyle name="Note 3 3 2 4 4" xfId="10379" xr:uid="{AA778AFC-2E48-4800-B1A9-B3EE71E40250}"/>
    <cellStyle name="Note 3 3 2 5" xfId="2261" xr:uid="{00000000-0005-0000-0000-0000B5210000}"/>
    <cellStyle name="Note 3 3 2 5 2" xfId="4490" xr:uid="{00000000-0005-0000-0000-0000B6210000}"/>
    <cellStyle name="Note 3 3 2 5 2 2" xfId="8713" xr:uid="{00000000-0005-0000-0000-0000B7210000}"/>
    <cellStyle name="Note 3 3 2 5 2 2 2" xfId="17155" xr:uid="{4193CDAB-C65B-4C47-B834-533BB60BAFC5}"/>
    <cellStyle name="Note 3 3 2 5 2 3" xfId="12937" xr:uid="{625C33D4-AB3C-46DE-8CB1-28DF32A6DAE9}"/>
    <cellStyle name="Note 3 3 2 5 3" xfId="6568" xr:uid="{00000000-0005-0000-0000-0000B8210000}"/>
    <cellStyle name="Note 3 3 2 5 3 2" xfId="15010" xr:uid="{A77F32FD-87FC-45BC-A91A-49C78EBC7B8A}"/>
    <cellStyle name="Note 3 3 2 5 4" xfId="10792" xr:uid="{732AB480-93FE-4A05-BC2C-D6613F1C9CC3}"/>
    <cellStyle name="Note 3 3 2 6" xfId="2697" xr:uid="{00000000-0005-0000-0000-0000B9210000}"/>
    <cellStyle name="Note 3 3 2 6 2" xfId="6981" xr:uid="{00000000-0005-0000-0000-0000BA210000}"/>
    <cellStyle name="Note 3 3 2 6 2 2" xfId="15423" xr:uid="{00977841-5C80-4E05-A301-D84C4FABAE0A}"/>
    <cellStyle name="Note 3 3 2 6 3" xfId="11205" xr:uid="{C488D976-FF10-44D1-B9A8-399740C61050}"/>
    <cellStyle name="Note 3 3 2 7" xfId="2756" xr:uid="{00000000-0005-0000-0000-0000BB210000}"/>
    <cellStyle name="Note 3 3 2 8" xfId="2837" xr:uid="{00000000-0005-0000-0000-0000BC210000}"/>
    <cellStyle name="Note 3 3 2 8 2" xfId="7061" xr:uid="{00000000-0005-0000-0000-0000BD210000}"/>
    <cellStyle name="Note 3 3 2 8 2 2" xfId="15503" xr:uid="{E26BE59F-AC85-49A0-AA72-E2695C6F357B}"/>
    <cellStyle name="Note 3 3 2 8 3" xfId="11285" xr:uid="{4C517EEA-6511-4232-A23C-B1C2399A5971}"/>
    <cellStyle name="Note 3 3 2 9" xfId="4916" xr:uid="{00000000-0005-0000-0000-0000BE210000}"/>
    <cellStyle name="Note 3 3 2 9 2" xfId="13358" xr:uid="{88E3993B-787B-4A10-BA0D-5390DB9FD6A7}"/>
    <cellStyle name="Note 3 3 3" xfId="1018" xr:uid="{00000000-0005-0000-0000-0000BF210000}"/>
    <cellStyle name="Note 3 3 3 2" xfId="3250" xr:uid="{00000000-0005-0000-0000-0000C0210000}"/>
    <cellStyle name="Note 3 3 3 2 2" xfId="7473" xr:uid="{00000000-0005-0000-0000-0000C1210000}"/>
    <cellStyle name="Note 3 3 3 2 2 2" xfId="15915" xr:uid="{6D69D0AF-72C2-4F3E-8238-9F9BE43FB637}"/>
    <cellStyle name="Note 3 3 3 2 3" xfId="11697" xr:uid="{7F84B69B-57EB-4744-8A83-6E90BA9FEC1A}"/>
    <cellStyle name="Note 3 3 3 3" xfId="5328" xr:uid="{00000000-0005-0000-0000-0000C2210000}"/>
    <cellStyle name="Note 3 3 3 3 2" xfId="13770" xr:uid="{1D5F1064-ED8D-492E-8EE0-6B8605B4ECFE}"/>
    <cellStyle name="Note 3 3 3 4" xfId="9552" xr:uid="{38CB09E6-FA31-4B8E-B9F1-28CB342C3807}"/>
    <cellStyle name="Note 3 3 4" xfId="1433" xr:uid="{00000000-0005-0000-0000-0000C3210000}"/>
    <cellStyle name="Note 3 3 4 2" xfId="3663" xr:uid="{00000000-0005-0000-0000-0000C4210000}"/>
    <cellStyle name="Note 3 3 4 2 2" xfId="7886" xr:uid="{00000000-0005-0000-0000-0000C5210000}"/>
    <cellStyle name="Note 3 3 4 2 2 2" xfId="16328" xr:uid="{6A541A4A-A42C-4489-BA50-0F42644E8937}"/>
    <cellStyle name="Note 3 3 4 2 3" xfId="12110" xr:uid="{DF1E0DCD-E7B4-4798-A9DE-A7B50FBB997C}"/>
    <cellStyle name="Note 3 3 4 3" xfId="5741" xr:uid="{00000000-0005-0000-0000-0000C6210000}"/>
    <cellStyle name="Note 3 3 4 3 2" xfId="14183" xr:uid="{D681F2CB-77B1-4899-A40E-0FDB5AAC3517}"/>
    <cellStyle name="Note 3 3 4 4" xfId="9965" xr:uid="{A0132B64-3F85-404C-8F16-A77ED1987A64}"/>
    <cellStyle name="Note 3 3 5" xfId="1847" xr:uid="{00000000-0005-0000-0000-0000C7210000}"/>
    <cellStyle name="Note 3 3 5 2" xfId="4076" xr:uid="{00000000-0005-0000-0000-0000C8210000}"/>
    <cellStyle name="Note 3 3 5 2 2" xfId="8299" xr:uid="{00000000-0005-0000-0000-0000C9210000}"/>
    <cellStyle name="Note 3 3 5 2 2 2" xfId="16741" xr:uid="{8E729774-10C7-4C43-944E-2D9D08871222}"/>
    <cellStyle name="Note 3 3 5 2 3" xfId="12523" xr:uid="{F2EDC110-91D6-423A-BBC7-7941E0EB6CEC}"/>
    <cellStyle name="Note 3 3 5 3" xfId="6154" xr:uid="{00000000-0005-0000-0000-0000CA210000}"/>
    <cellStyle name="Note 3 3 5 3 2" xfId="14596" xr:uid="{036B9D1D-FC67-46F4-ACFC-7BD0A406081F}"/>
    <cellStyle name="Note 3 3 5 4" xfId="10378" xr:uid="{282AC3A5-D4B2-4FBA-AEB1-C49E5CB07315}"/>
    <cellStyle name="Note 3 3 6" xfId="2260" xr:uid="{00000000-0005-0000-0000-0000CB210000}"/>
    <cellStyle name="Note 3 3 6 2" xfId="4489" xr:uid="{00000000-0005-0000-0000-0000CC210000}"/>
    <cellStyle name="Note 3 3 6 2 2" xfId="8712" xr:uid="{00000000-0005-0000-0000-0000CD210000}"/>
    <cellStyle name="Note 3 3 6 2 2 2" xfId="17154" xr:uid="{B5875694-F3DC-41DF-B346-15179CA5E7C1}"/>
    <cellStyle name="Note 3 3 6 2 3" xfId="12936" xr:uid="{519CC42B-8B01-4DC1-98CE-759F7081628C}"/>
    <cellStyle name="Note 3 3 6 3" xfId="6567" xr:uid="{00000000-0005-0000-0000-0000CE210000}"/>
    <cellStyle name="Note 3 3 6 3 2" xfId="15009" xr:uid="{0D4F3AFF-8240-4E00-8B82-625E15A287DD}"/>
    <cellStyle name="Note 3 3 6 4" xfId="10791" xr:uid="{CB7A4034-46DB-4648-A5BC-7B5CF94D5A35}"/>
    <cellStyle name="Note 3 3 7" xfId="2696" xr:uid="{00000000-0005-0000-0000-0000CF210000}"/>
    <cellStyle name="Note 3 3 7 2" xfId="6980" xr:uid="{00000000-0005-0000-0000-0000D0210000}"/>
    <cellStyle name="Note 3 3 7 2 2" xfId="15422" xr:uid="{EDC6D1DC-EF6F-4EB1-9062-AAB71A5FE4BD}"/>
    <cellStyle name="Note 3 3 7 3" xfId="11204" xr:uid="{BBAAF86D-1562-400E-AEBC-F6512EC242B5}"/>
    <cellStyle name="Note 3 3 8" xfId="2755" xr:uid="{00000000-0005-0000-0000-0000D1210000}"/>
    <cellStyle name="Note 3 3 9" xfId="2836" xr:uid="{00000000-0005-0000-0000-0000D2210000}"/>
    <cellStyle name="Note 3 3 9 2" xfId="7060" xr:uid="{00000000-0005-0000-0000-0000D3210000}"/>
    <cellStyle name="Note 3 3 9 2 2" xfId="15502" xr:uid="{192F31DF-CCA5-41E9-820D-8BFEEB8676DB}"/>
    <cellStyle name="Note 3 3 9 3" xfId="11284" xr:uid="{FA8ECCB3-D656-41ED-8B09-5C951EE887B2}"/>
    <cellStyle name="Note 3 4" xfId="560" xr:uid="{00000000-0005-0000-0000-0000D4210000}"/>
    <cellStyle name="Note 3 4 10" xfId="9141" xr:uid="{F6E89870-8944-4167-A521-63D1F748D105}"/>
    <cellStyle name="Note 3 4 2" xfId="1020" xr:uid="{00000000-0005-0000-0000-0000D5210000}"/>
    <cellStyle name="Note 3 4 2 2" xfId="3252" xr:uid="{00000000-0005-0000-0000-0000D6210000}"/>
    <cellStyle name="Note 3 4 2 2 2" xfId="7475" xr:uid="{00000000-0005-0000-0000-0000D7210000}"/>
    <cellStyle name="Note 3 4 2 2 2 2" xfId="15917" xr:uid="{A5A7B589-A368-4315-82CD-317751533039}"/>
    <cellStyle name="Note 3 4 2 2 3" xfId="11699" xr:uid="{4CFEB104-039C-4CB8-9B32-F85DDDDAE377}"/>
    <cellStyle name="Note 3 4 2 3" xfId="5330" xr:uid="{00000000-0005-0000-0000-0000D8210000}"/>
    <cellStyle name="Note 3 4 2 3 2" xfId="13772" xr:uid="{67FDDE90-4FBF-4B9C-BF76-341EFEF84005}"/>
    <cellStyle name="Note 3 4 2 4" xfId="9554" xr:uid="{52430C75-371E-4D7F-933B-BB7817B6FD23}"/>
    <cellStyle name="Note 3 4 3" xfId="1435" xr:uid="{00000000-0005-0000-0000-0000D9210000}"/>
    <cellStyle name="Note 3 4 3 2" xfId="3665" xr:uid="{00000000-0005-0000-0000-0000DA210000}"/>
    <cellStyle name="Note 3 4 3 2 2" xfId="7888" xr:uid="{00000000-0005-0000-0000-0000DB210000}"/>
    <cellStyle name="Note 3 4 3 2 2 2" xfId="16330" xr:uid="{9D73C6D7-E5D8-4FA7-BFA2-337E4AA7BEA5}"/>
    <cellStyle name="Note 3 4 3 2 3" xfId="12112" xr:uid="{9E2AFFE5-5569-4F61-8BA2-36CF475B889C}"/>
    <cellStyle name="Note 3 4 3 3" xfId="5743" xr:uid="{00000000-0005-0000-0000-0000DC210000}"/>
    <cellStyle name="Note 3 4 3 3 2" xfId="14185" xr:uid="{593E07E5-3A10-4935-A0CA-A5D47F8052FB}"/>
    <cellStyle name="Note 3 4 3 4" xfId="9967" xr:uid="{C7A500DB-4842-48A9-A208-907E3624FCD9}"/>
    <cellStyle name="Note 3 4 4" xfId="1849" xr:uid="{00000000-0005-0000-0000-0000DD210000}"/>
    <cellStyle name="Note 3 4 4 2" xfId="4078" xr:uid="{00000000-0005-0000-0000-0000DE210000}"/>
    <cellStyle name="Note 3 4 4 2 2" xfId="8301" xr:uid="{00000000-0005-0000-0000-0000DF210000}"/>
    <cellStyle name="Note 3 4 4 2 2 2" xfId="16743" xr:uid="{45256E12-3047-48E1-8052-85B97DEDC24D}"/>
    <cellStyle name="Note 3 4 4 2 3" xfId="12525" xr:uid="{6A2DCF44-447B-4A6B-82D1-58BA00BA20F0}"/>
    <cellStyle name="Note 3 4 4 3" xfId="6156" xr:uid="{00000000-0005-0000-0000-0000E0210000}"/>
    <cellStyle name="Note 3 4 4 3 2" xfId="14598" xr:uid="{1CAE2B6E-02E8-473D-BB55-0C3DD0F3EF45}"/>
    <cellStyle name="Note 3 4 4 4" xfId="10380" xr:uid="{F3B4A3AB-BD9E-4C83-809E-B6D63FEA4A3D}"/>
    <cellStyle name="Note 3 4 5" xfId="2262" xr:uid="{00000000-0005-0000-0000-0000E1210000}"/>
    <cellStyle name="Note 3 4 5 2" xfId="4491" xr:uid="{00000000-0005-0000-0000-0000E2210000}"/>
    <cellStyle name="Note 3 4 5 2 2" xfId="8714" xr:uid="{00000000-0005-0000-0000-0000E3210000}"/>
    <cellStyle name="Note 3 4 5 2 2 2" xfId="17156" xr:uid="{5F0C2E4E-F045-4CB5-8015-39FF77D52372}"/>
    <cellStyle name="Note 3 4 5 2 3" xfId="12938" xr:uid="{ACE23C4E-7DCB-4B3B-8FBB-52CC25E79BF6}"/>
    <cellStyle name="Note 3 4 5 3" xfId="6569" xr:uid="{00000000-0005-0000-0000-0000E4210000}"/>
    <cellStyle name="Note 3 4 5 3 2" xfId="15011" xr:uid="{E9ECA6E4-AF39-4E38-9D06-82C335FECE60}"/>
    <cellStyle name="Note 3 4 5 4" xfId="10793" xr:uid="{8BC7F5BE-3724-49B5-8119-75CAF0B0CDB3}"/>
    <cellStyle name="Note 3 4 6" xfId="2698" xr:uid="{00000000-0005-0000-0000-0000E5210000}"/>
    <cellStyle name="Note 3 4 6 2" xfId="6982" xr:uid="{00000000-0005-0000-0000-0000E6210000}"/>
    <cellStyle name="Note 3 4 6 2 2" xfId="15424" xr:uid="{F7E546E2-0FAB-4ED1-AB7E-2564B77721D6}"/>
    <cellStyle name="Note 3 4 6 3" xfId="11206" xr:uid="{3049FCAC-1855-4B7A-9E2B-85EBBA4622EE}"/>
    <cellStyle name="Note 3 4 7" xfId="2757" xr:uid="{00000000-0005-0000-0000-0000E7210000}"/>
    <cellStyle name="Note 3 4 8" xfId="2838" xr:uid="{00000000-0005-0000-0000-0000E8210000}"/>
    <cellStyle name="Note 3 4 8 2" xfId="7062" xr:uid="{00000000-0005-0000-0000-0000E9210000}"/>
    <cellStyle name="Note 3 4 8 2 2" xfId="15504" xr:uid="{5411B381-3874-430E-A7A5-677412137E37}"/>
    <cellStyle name="Note 3 4 8 3" xfId="11286" xr:uid="{A6C5ECF5-8B96-4C5A-8416-56B69E1952CC}"/>
    <cellStyle name="Note 3 4 9" xfId="4917" xr:uid="{00000000-0005-0000-0000-0000EA210000}"/>
    <cellStyle name="Note 3 4 9 2" xfId="13359" xr:uid="{D6B96DE7-CD6D-4C5A-8E41-99E92182C5EA}"/>
    <cellStyle name="Note 3 5" xfId="561" xr:uid="{00000000-0005-0000-0000-0000EB210000}"/>
    <cellStyle name="Note 3 5 10" xfId="9142" xr:uid="{D6A2EDDD-FC17-4EE2-A2AC-85EB77C79840}"/>
    <cellStyle name="Note 3 5 2" xfId="1021" xr:uid="{00000000-0005-0000-0000-0000EC210000}"/>
    <cellStyle name="Note 3 5 2 2" xfId="3253" xr:uid="{00000000-0005-0000-0000-0000ED210000}"/>
    <cellStyle name="Note 3 5 2 2 2" xfId="7476" xr:uid="{00000000-0005-0000-0000-0000EE210000}"/>
    <cellStyle name="Note 3 5 2 2 2 2" xfId="15918" xr:uid="{C219B98D-4235-47E1-A6E4-45EB249FB19F}"/>
    <cellStyle name="Note 3 5 2 2 3" xfId="11700" xr:uid="{7071DDE6-4454-483F-9337-DCC85B4676AC}"/>
    <cellStyle name="Note 3 5 2 3" xfId="5331" xr:uid="{00000000-0005-0000-0000-0000EF210000}"/>
    <cellStyle name="Note 3 5 2 3 2" xfId="13773" xr:uid="{57BAE8A1-0238-4E6D-9FAC-BF1B5672880E}"/>
    <cellStyle name="Note 3 5 2 4" xfId="9555" xr:uid="{897C9F81-B6B2-4232-A44B-7A5439B4F93A}"/>
    <cellStyle name="Note 3 5 3" xfId="1436" xr:uid="{00000000-0005-0000-0000-0000F0210000}"/>
    <cellStyle name="Note 3 5 3 2" xfId="3666" xr:uid="{00000000-0005-0000-0000-0000F1210000}"/>
    <cellStyle name="Note 3 5 3 2 2" xfId="7889" xr:uid="{00000000-0005-0000-0000-0000F2210000}"/>
    <cellStyle name="Note 3 5 3 2 2 2" xfId="16331" xr:uid="{CFE70A7F-96FC-488D-A021-9C17DFA7A333}"/>
    <cellStyle name="Note 3 5 3 2 3" xfId="12113" xr:uid="{003F066C-70FF-4E0C-A08B-4426089837C3}"/>
    <cellStyle name="Note 3 5 3 3" xfId="5744" xr:uid="{00000000-0005-0000-0000-0000F3210000}"/>
    <cellStyle name="Note 3 5 3 3 2" xfId="14186" xr:uid="{7C52DA02-23BD-45C2-8775-C8D340A61339}"/>
    <cellStyle name="Note 3 5 3 4" xfId="9968" xr:uid="{7B5B2966-B69E-4350-846D-ADF7251C9FDF}"/>
    <cellStyle name="Note 3 5 4" xfId="1850" xr:uid="{00000000-0005-0000-0000-0000F4210000}"/>
    <cellStyle name="Note 3 5 4 2" xfId="4079" xr:uid="{00000000-0005-0000-0000-0000F5210000}"/>
    <cellStyle name="Note 3 5 4 2 2" xfId="8302" xr:uid="{00000000-0005-0000-0000-0000F6210000}"/>
    <cellStyle name="Note 3 5 4 2 2 2" xfId="16744" xr:uid="{38AD8460-A2DF-469C-86CB-0937A3CCD311}"/>
    <cellStyle name="Note 3 5 4 2 3" xfId="12526" xr:uid="{E9E16311-A2F9-4E53-8655-A89CC6FF0563}"/>
    <cellStyle name="Note 3 5 4 3" xfId="6157" xr:uid="{00000000-0005-0000-0000-0000F7210000}"/>
    <cellStyle name="Note 3 5 4 3 2" xfId="14599" xr:uid="{A1BA092F-B7BA-4225-9B34-4223EC32505E}"/>
    <cellStyle name="Note 3 5 4 4" xfId="10381" xr:uid="{03407CB9-C97A-43B2-B2BF-9512AA5BED29}"/>
    <cellStyle name="Note 3 5 5" xfId="2263" xr:uid="{00000000-0005-0000-0000-0000F8210000}"/>
    <cellStyle name="Note 3 5 5 2" xfId="4492" xr:uid="{00000000-0005-0000-0000-0000F9210000}"/>
    <cellStyle name="Note 3 5 5 2 2" xfId="8715" xr:uid="{00000000-0005-0000-0000-0000FA210000}"/>
    <cellStyle name="Note 3 5 5 2 2 2" xfId="17157" xr:uid="{1A0B2E88-E2F2-4953-BCC4-6169CF95DCF6}"/>
    <cellStyle name="Note 3 5 5 2 3" xfId="12939" xr:uid="{F8786F93-816B-4EA5-B984-FBC8FD741E39}"/>
    <cellStyle name="Note 3 5 5 3" xfId="6570" xr:uid="{00000000-0005-0000-0000-0000FB210000}"/>
    <cellStyle name="Note 3 5 5 3 2" xfId="15012" xr:uid="{5C4C5837-63C2-421A-8F9F-5CA4BCF39403}"/>
    <cellStyle name="Note 3 5 5 4" xfId="10794" xr:uid="{0D6074DB-F61D-4C6A-861F-59F6BA42D295}"/>
    <cellStyle name="Note 3 5 6" xfId="2699" xr:uid="{00000000-0005-0000-0000-0000FC210000}"/>
    <cellStyle name="Note 3 5 6 2" xfId="6983" xr:uid="{00000000-0005-0000-0000-0000FD210000}"/>
    <cellStyle name="Note 3 5 6 2 2" xfId="15425" xr:uid="{FA4453A1-F8C2-466B-8F0E-9093E86BB238}"/>
    <cellStyle name="Note 3 5 6 3" xfId="11207" xr:uid="{60198875-6238-4B12-AFBE-F5E252EA14BF}"/>
    <cellStyle name="Note 3 5 7" xfId="2758" xr:uid="{00000000-0005-0000-0000-0000FE210000}"/>
    <cellStyle name="Note 3 5 8" xfId="2839" xr:uid="{00000000-0005-0000-0000-0000FF210000}"/>
    <cellStyle name="Note 3 5 8 2" xfId="7063" xr:uid="{00000000-0005-0000-0000-000000220000}"/>
    <cellStyle name="Note 3 5 8 2 2" xfId="15505" xr:uid="{6856380E-F6FF-4491-AC71-04345644C091}"/>
    <cellStyle name="Note 3 5 8 3" xfId="11287" xr:uid="{D74A340D-2AD8-4D43-9B66-6E4AD43D5044}"/>
    <cellStyle name="Note 3 5 9" xfId="4918" xr:uid="{00000000-0005-0000-0000-000001220000}"/>
    <cellStyle name="Note 3 5 9 2" xfId="13360" xr:uid="{A596A43C-957B-4366-BCDD-F08F55213214}"/>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8C2EB32E-AE2B-4920-8CAB-4C14D925FFD8}"/>
    <cellStyle name="Percent 4" xfId="4502" xr:uid="{00000000-0005-0000-0000-000007220000}"/>
    <cellStyle name="Percent 4 2" xfId="8718" xr:uid="{00000000-0005-0000-0000-000008220000}"/>
    <cellStyle name="Percent 4 2 2" xfId="17160" xr:uid="{736DBEA5-40F2-4F6A-82CB-2628D0137666}"/>
    <cellStyle name="Percent 4 3" xfId="8721" xr:uid="{D09CD3FC-D632-4B66-A68A-5CC92F993799}"/>
    <cellStyle name="Percent 4 3 2" xfId="8725" xr:uid="{D57AE941-8E59-43F0-AB73-09B3BCCFA234}"/>
    <cellStyle name="Percent 4 3 2 2" xfId="8728" xr:uid="{D24D76A7-D076-4554-9944-551B122393DE}"/>
    <cellStyle name="Percent 4 3 2 2 2" xfId="17169" xr:uid="{24A6EB05-CEDC-4B62-9A30-A674E3D65DDF}"/>
    <cellStyle name="Percent 4 3 2 3" xfId="17166" xr:uid="{0B090225-2F1D-4102-907B-38F09CCDFB4D}"/>
    <cellStyle name="Percent 4 3 3" xfId="17163" xr:uid="{FC10CBAA-2A89-4F72-82A8-0CCCFDF5E900}"/>
    <cellStyle name="Percent 4 4" xfId="12946" xr:uid="{099A6826-8DF8-449B-AAB1-FB09F344EE8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Veronica Rigobon" id="{52FB37DC-82C9-4C39-8392-3765B0B14B5C}" userId="S::vrigobon@metahousing.com::0b4e8c74-13eb-4860-b055-75998b7ca7a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15" dT="2024-04-09T16:36:00.81" personId="{52FB37DC-82C9-4C39-8392-3765B0B14B5C}" id="{65ECE631-39E9-40EB-AE7B-71FA5F83FBBC}">
    <text>WSH Management</text>
  </threadedComment>
  <threadedComment ref="G207" dT="2024-04-09T16:38:21.79" personId="{52FB37DC-82C9-4C39-8392-3765B0B14B5C}" id="{C3C513B7-9DB6-45FF-9DB9-50BC29B3904E}">
    <text>MAKE SURE THIS MATCHES COMMITMENT LETTER</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2338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2339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2568</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2495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2574</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2348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2349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1268</v>
      </c>
    </row>
    <row r="43" spans="1:38" s="1264"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2342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2343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1295</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2344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874</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1276</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1279</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938</v>
      </c>
    </row>
    <row r="116" spans="2:16" ht="12.75" customHeight="1">
      <c r="F116" s="4" t="s">
        <v>968</v>
      </c>
    </row>
    <row r="117" spans="2:16"/>
    <row r="118" spans="2:16">
      <c r="E118" t="s">
        <v>589</v>
      </c>
      <c r="F118" s="98" t="s">
        <v>939</v>
      </c>
    </row>
    <row r="119" spans="2:16">
      <c r="F119" s="4" t="s">
        <v>1037</v>
      </c>
      <c r="G119" s="4"/>
    </row>
    <row r="120" spans="2:16">
      <c r="F120" s="99" t="s">
        <v>1291</v>
      </c>
      <c r="G120" s="99"/>
    </row>
    <row r="121" spans="2:16">
      <c r="G121" s="99"/>
    </row>
    <row r="122" spans="2:16">
      <c r="E122" s="4" t="s">
        <v>772</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585</v>
      </c>
    </row>
    <row r="130" spans="4:37">
      <c r="E130" s="4" t="s">
        <v>940</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303</v>
      </c>
      <c r="E140" s="2" t="s">
        <v>2345</v>
      </c>
      <c r="F140" s="2"/>
      <c r="G140" s="2"/>
      <c r="H140" s="2"/>
    </row>
    <row r="141" spans="4:37">
      <c r="E141" t="s">
        <v>112</v>
      </c>
      <c r="F141" t="s">
        <v>52</v>
      </c>
    </row>
    <row r="142" spans="4:37">
      <c r="E142" t="s">
        <v>113</v>
      </c>
      <c r="F142" t="s">
        <v>474</v>
      </c>
    </row>
    <row r="143" spans="4:37"/>
    <row r="144" spans="4:37">
      <c r="D144" s="2" t="s">
        <v>429</v>
      </c>
      <c r="E144" s="2" t="s">
        <v>2346</v>
      </c>
    </row>
    <row r="145" spans="3:7">
      <c r="E145" s="218" t="s">
        <v>2347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942</v>
      </c>
      <c r="F152" s="4"/>
    </row>
    <row r="153" spans="3:7"/>
    <row r="154" spans="3:7">
      <c r="D154" s="2" t="s">
        <v>582</v>
      </c>
      <c r="E154" s="2" t="s">
        <v>561</v>
      </c>
    </row>
    <row r="155" spans="3:7">
      <c r="E155" s="4" t="s">
        <v>943</v>
      </c>
    </row>
    <row r="156" spans="3:7">
      <c r="E156" s="4" t="s">
        <v>941</v>
      </c>
      <c r="G156" s="4"/>
    </row>
    <row r="157" spans="3:7"/>
    <row r="158" spans="3:7">
      <c r="D158" s="2" t="s">
        <v>522</v>
      </c>
      <c r="E158" s="2" t="s">
        <v>541</v>
      </c>
    </row>
    <row r="159" spans="3:7">
      <c r="E159" t="s">
        <v>112</v>
      </c>
      <c r="F159" s="4" t="s">
        <v>944</v>
      </c>
    </row>
    <row r="160" spans="3:7">
      <c r="E160" s="4" t="s">
        <v>113</v>
      </c>
      <c r="F160" s="4" t="s">
        <v>945</v>
      </c>
    </row>
    <row r="161" spans="3:20">
      <c r="E161" s="4" t="s">
        <v>119</v>
      </c>
      <c r="F161" t="s">
        <v>734</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949</v>
      </c>
    </row>
    <row r="180" spans="2:19">
      <c r="F180" s="120" t="s">
        <v>1248</v>
      </c>
      <c r="I180" s="120"/>
    </row>
    <row r="181" spans="2:19">
      <c r="I181" s="120"/>
    </row>
    <row r="182" spans="2:19">
      <c r="B182" s="4"/>
      <c r="C182" s="4"/>
      <c r="E182" t="s">
        <v>113</v>
      </c>
      <c r="F182" s="3" t="s">
        <v>877</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718</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661</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953</v>
      </c>
      <c r="I205" s="4"/>
      <c r="J205" s="4"/>
      <c r="M205" s="4"/>
      <c r="N205" s="4"/>
      <c r="O205" s="4"/>
      <c r="P205" s="4"/>
      <c r="Q205" s="4"/>
      <c r="R205" s="4"/>
      <c r="S205" s="4"/>
      <c r="T205" s="4"/>
      <c r="U205" s="4"/>
      <c r="V205" s="4"/>
      <c r="W205" s="4"/>
      <c r="X205" s="4"/>
      <c r="Y205" s="4"/>
    </row>
    <row r="206" spans="2:37">
      <c r="B206" s="4"/>
      <c r="C206" s="4"/>
      <c r="D206" s="2"/>
      <c r="E206" s="4" t="s">
        <v>589</v>
      </c>
      <c r="F206" s="4" t="s">
        <v>954</v>
      </c>
      <c r="M206" s="4"/>
      <c r="N206" s="4"/>
      <c r="O206" s="4"/>
      <c r="P206" s="4"/>
      <c r="Q206" s="4"/>
      <c r="R206" s="4"/>
      <c r="S206" s="4"/>
    </row>
    <row r="207" spans="2:37">
      <c r="B207" s="4"/>
      <c r="C207" s="4"/>
      <c r="D207" s="2"/>
      <c r="F207" t="s">
        <v>661</v>
      </c>
      <c r="G207" s="1264" t="s">
        <v>1280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958</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966</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15" customHeight="1">
      <c r="B343" s="2"/>
      <c r="E343" s="1269" t="s">
        <v>1340</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1342</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1341</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1331</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2" zoomScale="115" zoomScaleNormal="115" workbookViewId="0">
      <selection activeCell="S243" sqref="S243:AJ243"/>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83" t="s">
        <v>2402</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65" ht="15.75" customHeight="1">
      <c r="A2" s="2586" t="s">
        <v>2449</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89" t="str">
        <f>IF(Application!H18="","",Application!H18)</f>
        <v>Holt &amp; Main</v>
      </c>
      <c r="M4" s="2590"/>
      <c r="N4" s="2590"/>
      <c r="O4" s="2590"/>
      <c r="P4" s="2590"/>
      <c r="Q4" s="2590"/>
      <c r="R4" s="2590"/>
      <c r="S4" s="2590"/>
      <c r="T4" s="2590"/>
      <c r="U4" s="2590"/>
      <c r="V4" s="2590"/>
      <c r="W4" s="2590"/>
      <c r="X4" s="2590"/>
      <c r="Y4" s="2590"/>
      <c r="Z4" s="2590"/>
      <c r="AA4" s="2590"/>
      <c r="AB4" s="2590"/>
      <c r="AC4" s="2591"/>
      <c r="AD4" s="1206"/>
      <c r="AE4" s="1206"/>
      <c r="AF4" s="2219" t="s">
        <v>2450</v>
      </c>
      <c r="AG4" s="2219"/>
      <c r="AH4" s="2219"/>
      <c r="AI4" s="2219"/>
      <c r="AJ4" s="2219"/>
      <c r="AK4" s="2219"/>
      <c r="AL4" s="2219"/>
      <c r="AM4" s="2219"/>
      <c r="AN4" s="2219"/>
      <c r="AO4" s="2219"/>
      <c r="AP4" s="2220">
        <v>46388</v>
      </c>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2451</v>
      </c>
      <c r="AG5" s="2219"/>
      <c r="AH5" s="2219"/>
      <c r="AI5" s="2219"/>
      <c r="AJ5" s="2219"/>
      <c r="AK5" s="2219"/>
      <c r="AL5" s="2219"/>
      <c r="AM5" s="2219"/>
      <c r="AN5" s="2219"/>
      <c r="AO5" s="2219"/>
      <c r="AP5" s="2220">
        <v>45689</v>
      </c>
      <c r="AQ5" s="2221"/>
      <c r="AR5" s="2221"/>
      <c r="AS5" s="2221"/>
      <c r="AT5" s="2221"/>
      <c r="AU5" s="2221"/>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89" t="str">
        <f>IF(Application!H16="","",Application!H16)</f>
        <v>Holt &amp; Main, L.P.</v>
      </c>
      <c r="M6" s="2590"/>
      <c r="N6" s="2590"/>
      <c r="O6" s="2590"/>
      <c r="P6" s="2590"/>
      <c r="Q6" s="2590"/>
      <c r="R6" s="2590"/>
      <c r="S6" s="2590"/>
      <c r="T6" s="2590"/>
      <c r="U6" s="2590"/>
      <c r="V6" s="2590"/>
      <c r="W6" s="2590"/>
      <c r="X6" s="2590"/>
      <c r="Y6" s="2590"/>
      <c r="Z6" s="2590"/>
      <c r="AA6" s="2590"/>
      <c r="AB6" s="2590"/>
      <c r="AC6" s="2591"/>
      <c r="AD6" s="1206"/>
      <c r="AE6" s="1206"/>
      <c r="AF6" s="2592" t="s">
        <v>2452</v>
      </c>
      <c r="AG6" s="2592"/>
      <c r="AH6" s="2592"/>
      <c r="AI6" s="2592"/>
      <c r="AJ6" s="2592"/>
      <c r="AK6" s="2592"/>
      <c r="AL6" s="2592"/>
      <c r="AM6" s="2592"/>
      <c r="AN6" s="2592"/>
      <c r="AO6" s="2592"/>
      <c r="AP6" s="2582">
        <v>6</v>
      </c>
      <c r="AQ6" s="2582"/>
      <c r="AR6" s="2582"/>
      <c r="AS6" s="2582"/>
      <c r="AT6" s="2582"/>
      <c r="AU6" s="258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92" t="s">
        <v>2453</v>
      </c>
      <c r="AG7" s="2592"/>
      <c r="AH7" s="2592"/>
      <c r="AI7" s="2592"/>
      <c r="AJ7" s="2592"/>
      <c r="AK7" s="2592"/>
      <c r="AL7" s="2592"/>
      <c r="AM7" s="2592"/>
      <c r="AN7" s="2592"/>
      <c r="AO7" s="2592"/>
      <c r="AP7" s="2582">
        <v>2</v>
      </c>
      <c r="AQ7" s="2582"/>
      <c r="AR7" s="2582"/>
      <c r="AS7" s="2582"/>
      <c r="AT7" s="2582"/>
      <c r="AU7" s="258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93" t="str">
        <f>Application!T197</f>
        <v>No</v>
      </c>
      <c r="AC8" s="2594"/>
      <c r="AD8" s="2595"/>
      <c r="AE8" s="1206"/>
      <c r="AF8" s="2592" t="s">
        <v>2454</v>
      </c>
      <c r="AG8" s="2592"/>
      <c r="AH8" s="2592"/>
      <c r="AI8" s="2592"/>
      <c r="AJ8" s="2592"/>
      <c r="AK8" s="2592"/>
      <c r="AL8" s="2592"/>
      <c r="AM8" s="2592"/>
      <c r="AN8" s="2592"/>
      <c r="AO8" s="2592"/>
      <c r="AP8" s="2582" t="s">
        <v>2406</v>
      </c>
      <c r="AQ8" s="2582"/>
      <c r="AR8" s="2582"/>
      <c r="AS8" s="2582"/>
      <c r="AT8" s="2582"/>
      <c r="AU8" s="2582"/>
      <c r="AV8" s="1206"/>
      <c r="AW8" s="1206"/>
      <c r="AX8" s="1206"/>
      <c r="AY8" s="1206"/>
      <c r="AZ8" s="1206"/>
      <c r="BA8" s="1206"/>
      <c r="BB8" s="1206"/>
      <c r="BC8" s="1206"/>
      <c r="BD8" s="1206"/>
      <c r="BE8" s="1216"/>
      <c r="BM8" s="1197" t="s">
        <v>2282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2613</v>
      </c>
      <c r="AG9" s="2219"/>
      <c r="AH9" s="2219"/>
      <c r="AI9" s="2219"/>
      <c r="AJ9" s="2219"/>
      <c r="AK9" s="2219"/>
      <c r="AL9" s="2219"/>
      <c r="AM9" s="2219"/>
      <c r="AN9" s="2219"/>
      <c r="AO9" s="2219"/>
      <c r="AP9" s="2220">
        <v>46419</v>
      </c>
      <c r="AQ9" s="2221"/>
      <c r="AR9" s="2221"/>
      <c r="AS9" s="2221"/>
      <c r="AT9" s="2221"/>
      <c r="AU9" s="2221"/>
      <c r="AV9" s="1206"/>
      <c r="AW9" s="1206"/>
      <c r="AX9" s="1206"/>
      <c r="AY9" s="1206"/>
      <c r="AZ9" s="1206"/>
      <c r="BA9" s="1206"/>
      <c r="BB9" s="1206"/>
      <c r="BC9" s="1206"/>
      <c r="BD9" s="1206"/>
      <c r="BE9" s="1216"/>
      <c r="BM9" s="1197" t="s">
        <v>2455</v>
      </c>
    </row>
    <row r="10" spans="1:65" ht="15">
      <c r="A10" s="1212"/>
      <c r="B10" s="1214" t="s">
        <v>1790</v>
      </c>
      <c r="C10" s="1214"/>
      <c r="D10" s="1214"/>
      <c r="E10" s="1214"/>
      <c r="F10" s="1214"/>
      <c r="G10" s="1214"/>
      <c r="H10" s="1214"/>
      <c r="I10" s="1214"/>
      <c r="J10" s="1214"/>
      <c r="K10" s="1214"/>
      <c r="L10" s="1214"/>
      <c r="M10" s="1206"/>
      <c r="N10" s="2564">
        <f>Application!AO627</f>
        <v>18090000</v>
      </c>
      <c r="O10" s="2564"/>
      <c r="P10" s="2564"/>
      <c r="Q10" s="2564"/>
      <c r="R10" s="2564"/>
      <c r="S10" s="2564"/>
      <c r="T10" s="2564"/>
      <c r="U10" s="1206"/>
      <c r="V10" s="1206"/>
      <c r="W10" s="1206"/>
      <c r="X10" s="1255"/>
      <c r="Y10" s="1255"/>
      <c r="Z10" s="1255"/>
      <c r="AA10" s="1255"/>
      <c r="AB10" s="1255"/>
      <c r="AC10" s="1255"/>
      <c r="AD10" s="1255"/>
      <c r="AE10" s="1255"/>
      <c r="AF10" s="2219" t="s">
        <v>2612</v>
      </c>
      <c r="AG10" s="2219"/>
      <c r="AH10" s="2219"/>
      <c r="AI10" s="2219"/>
      <c r="AJ10" s="2219"/>
      <c r="AK10" s="2219"/>
      <c r="AL10" s="2219"/>
      <c r="AM10" s="2219"/>
      <c r="AN10" s="2219"/>
      <c r="AO10" s="2219"/>
      <c r="AP10" s="2220">
        <v>46419</v>
      </c>
      <c r="AQ10" s="2221"/>
      <c r="AR10" s="2221"/>
      <c r="AS10" s="2221"/>
      <c r="AT10" s="2221"/>
      <c r="AU10" s="2221"/>
      <c r="AV10" s="1255"/>
      <c r="AW10" s="1255"/>
      <c r="AX10" s="1206"/>
      <c r="AY10" s="1206"/>
      <c r="AZ10" s="1206"/>
      <c r="BA10" s="1206"/>
      <c r="BB10" s="1206"/>
      <c r="BC10" s="1206"/>
      <c r="BD10" s="1206"/>
      <c r="BE10" s="1216"/>
      <c r="BM10" s="1197" t="s">
        <v>2457</v>
      </c>
    </row>
    <row r="11" spans="1:65" ht="15">
      <c r="A11" s="1212"/>
      <c r="B11" s="1214" t="s">
        <v>1791</v>
      </c>
      <c r="C11" s="1214"/>
      <c r="D11" s="1214"/>
      <c r="E11" s="1214"/>
      <c r="F11" s="1214"/>
      <c r="G11" s="1214"/>
      <c r="H11" s="1214"/>
      <c r="I11" s="1214"/>
      <c r="J11" s="1214"/>
      <c r="K11" s="1214"/>
      <c r="L11" s="1214"/>
      <c r="M11" s="1206"/>
      <c r="N11" s="2564">
        <f>Application!AA933</f>
        <v>4000000</v>
      </c>
      <c r="O11" s="2564"/>
      <c r="P11" s="2564"/>
      <c r="Q11" s="2564"/>
      <c r="R11" s="2564"/>
      <c r="S11" s="2564"/>
      <c r="T11" s="2564"/>
      <c r="U11" s="1206"/>
      <c r="V11" s="1206"/>
      <c r="W11" s="1206"/>
      <c r="X11" s="1255"/>
      <c r="Y11" s="1255"/>
      <c r="Z11" s="1255"/>
      <c r="AA11" s="1255"/>
      <c r="AB11" s="1255"/>
      <c r="AC11" s="1255"/>
      <c r="AD11" s="1255"/>
      <c r="AE11" s="1255"/>
      <c r="AF11" s="2219" t="s">
        <v>2611</v>
      </c>
      <c r="AG11" s="2219"/>
      <c r="AH11" s="2219"/>
      <c r="AI11" s="2219"/>
      <c r="AJ11" s="2219"/>
      <c r="AK11" s="2219"/>
      <c r="AL11" s="2219"/>
      <c r="AM11" s="2219"/>
      <c r="AN11" s="2219"/>
      <c r="AO11" s="2219"/>
      <c r="AP11" s="2220">
        <v>46478</v>
      </c>
      <c r="AQ11" s="2221"/>
      <c r="AR11" s="2221"/>
      <c r="AS11" s="2221"/>
      <c r="AT11" s="2221"/>
      <c r="AU11" s="2221"/>
      <c r="AV11" s="1255"/>
      <c r="AW11" s="1255"/>
      <c r="AX11" s="1206"/>
      <c r="AY11" s="1206"/>
      <c r="AZ11" s="1206"/>
      <c r="BA11" s="1206"/>
      <c r="BB11" s="1206"/>
      <c r="BC11" s="1206"/>
      <c r="BD11" s="1206"/>
      <c r="BE11" s="1216"/>
      <c r="BM11" s="1197" t="s">
        <v>2406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2460</v>
      </c>
    </row>
    <row r="13" spans="1:65" thickBot="1">
      <c r="A13" s="1206"/>
      <c r="B13" s="2571" t="s">
        <v>1792</v>
      </c>
      <c r="C13" s="2572"/>
      <c r="D13" s="2572"/>
      <c r="E13" s="2572"/>
      <c r="F13" s="2572"/>
      <c r="G13" s="2572"/>
      <c r="H13" s="2572"/>
      <c r="I13" s="2572"/>
      <c r="J13" s="2572"/>
      <c r="K13" s="2572"/>
      <c r="L13" s="2572"/>
      <c r="M13" s="2572"/>
      <c r="N13" s="2572"/>
      <c r="O13" s="2572"/>
      <c r="P13" s="2573"/>
      <c r="Q13" s="2574" t="s">
        <v>677</v>
      </c>
      <c r="R13" s="2575"/>
      <c r="S13" s="2575"/>
      <c r="T13" s="2576"/>
      <c r="U13" s="1255"/>
      <c r="V13" s="1206"/>
      <c r="W13" s="1206"/>
      <c r="X13" s="1206"/>
      <c r="Y13" s="1206"/>
      <c r="Z13" s="1206"/>
      <c r="AA13" s="2565" t="s">
        <v>2456</v>
      </c>
      <c r="AB13" s="2565"/>
      <c r="AC13" s="2565"/>
      <c r="AD13" s="2565"/>
      <c r="AE13" s="2565"/>
      <c r="AF13" s="2565"/>
      <c r="AG13" s="2565"/>
      <c r="AH13" s="2565"/>
      <c r="AI13" s="2565"/>
      <c r="AJ13" s="2565"/>
      <c r="AK13" s="2565"/>
      <c r="AL13" s="2565"/>
      <c r="AM13" s="2565"/>
      <c r="AN13" s="2565"/>
      <c r="AO13" s="2566">
        <f>Application!W473</f>
        <v>42</v>
      </c>
      <c r="AP13" s="2567"/>
      <c r="AQ13" s="2567"/>
      <c r="AR13" s="2567"/>
      <c r="AS13" s="2567"/>
      <c r="AT13" s="1255"/>
      <c r="AU13" s="1255"/>
      <c r="AV13" s="1255"/>
      <c r="AW13" s="1255"/>
      <c r="AX13" s="1255"/>
      <c r="AY13" s="1255"/>
      <c r="AZ13" s="1255"/>
      <c r="BA13" s="1255"/>
      <c r="BB13" s="1255"/>
      <c r="BC13" s="1255"/>
      <c r="BD13" s="1255"/>
      <c r="BE13" s="1202"/>
      <c r="BM13" s="1197" t="s">
        <v>2461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8" t="s">
        <v>2458</v>
      </c>
      <c r="AB14" s="2568"/>
      <c r="AC14" s="2568"/>
      <c r="AD14" s="2568"/>
      <c r="AE14" s="2568"/>
      <c r="AF14" s="2568"/>
      <c r="AG14" s="2568"/>
      <c r="AH14" s="2568"/>
      <c r="AI14" s="2568"/>
      <c r="AJ14" s="2568"/>
      <c r="AK14" s="2568"/>
      <c r="AL14" s="2568"/>
      <c r="AM14" s="2568"/>
      <c r="AN14" s="2568"/>
      <c r="AO14" s="2569">
        <v>45335</v>
      </c>
      <c r="AP14" s="2570"/>
      <c r="AQ14" s="2570"/>
      <c r="AR14" s="2570"/>
      <c r="AS14" s="2570"/>
      <c r="AT14" s="1255"/>
      <c r="AU14" s="1255"/>
      <c r="AV14" s="1255"/>
      <c r="AW14" s="1255"/>
      <c r="AX14" s="1255"/>
      <c r="AY14" s="1255"/>
      <c r="AZ14" s="1255"/>
      <c r="BA14" s="1255"/>
      <c r="BB14" s="1255"/>
      <c r="BC14" s="1255"/>
      <c r="BD14" s="1255"/>
      <c r="BE14" s="1202"/>
    </row>
    <row r="15" spans="1:65" thickBot="1">
      <c r="A15" s="1206"/>
      <c r="B15" s="2577" t="s">
        <v>1793</v>
      </c>
      <c r="C15" s="2578"/>
      <c r="D15" s="2578"/>
      <c r="E15" s="2578"/>
      <c r="F15" s="2578"/>
      <c r="G15" s="2578"/>
      <c r="H15" s="2578"/>
      <c r="I15" s="2578"/>
      <c r="J15" s="2578"/>
      <c r="K15" s="2578"/>
      <c r="L15" s="2578"/>
      <c r="M15" s="2578"/>
      <c r="N15" s="2578"/>
      <c r="O15" s="2578"/>
      <c r="P15" s="2578"/>
      <c r="Q15" s="2578"/>
      <c r="R15" s="2579"/>
      <c r="S15" s="2580" t="str">
        <f>IF(Application!AB214="","",Application!AB214)</f>
        <v/>
      </c>
      <c r="T15" s="2580"/>
      <c r="U15" s="2580"/>
      <c r="V15" s="2580"/>
      <c r="W15" s="2581"/>
      <c r="X15" s="1255"/>
      <c r="Y15" s="1206"/>
      <c r="Z15" s="1206"/>
      <c r="AA15" s="2565" t="s">
        <v>2459</v>
      </c>
      <c r="AB15" s="2565"/>
      <c r="AC15" s="2565"/>
      <c r="AD15" s="2565"/>
      <c r="AE15" s="2565"/>
      <c r="AF15" s="2565"/>
      <c r="AG15" s="2565"/>
      <c r="AH15" s="2565"/>
      <c r="AI15" s="2565"/>
      <c r="AJ15" s="2565"/>
      <c r="AK15" s="2565"/>
      <c r="AL15" s="2565"/>
      <c r="AM15" s="2565"/>
      <c r="AN15" s="2565"/>
      <c r="AO15" s="2569">
        <v>45405</v>
      </c>
      <c r="AP15" s="2570"/>
      <c r="AQ15" s="2570"/>
      <c r="AR15" s="2570"/>
      <c r="AS15" s="257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1" t="s">
        <v>1794</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6"/>
      <c r="BA17" s="1206"/>
      <c r="BB17" s="1206"/>
      <c r="BC17" s="1206"/>
      <c r="BD17" s="1206"/>
      <c r="BE17" s="1202"/>
      <c r="BF17" s="1198"/>
    </row>
    <row r="18" spans="1:58" ht="15.75" customHeight="1">
      <c r="A18" s="1206"/>
      <c r="B18" s="2557" t="s">
        <v>1795</v>
      </c>
      <c r="C18" s="2558"/>
      <c r="D18" s="2558"/>
      <c r="E18" s="2558"/>
      <c r="F18" s="2558"/>
      <c r="G18" s="2558"/>
      <c r="H18" s="2558"/>
      <c r="I18" s="2559"/>
      <c r="J18" s="2560" t="s">
        <v>1696</v>
      </c>
      <c r="K18" s="2561"/>
      <c r="L18" s="2561"/>
      <c r="M18" s="2561"/>
      <c r="N18" s="2561"/>
      <c r="O18" s="2562"/>
      <c r="P18" s="2560" t="s">
        <v>324</v>
      </c>
      <c r="Q18" s="2561"/>
      <c r="R18" s="2561"/>
      <c r="S18" s="2561"/>
      <c r="T18" s="2561"/>
      <c r="U18" s="2562"/>
      <c r="V18" s="2560" t="s">
        <v>325</v>
      </c>
      <c r="W18" s="2561"/>
      <c r="X18" s="2561"/>
      <c r="Y18" s="2561"/>
      <c r="Z18" s="2561"/>
      <c r="AA18" s="2562"/>
      <c r="AB18" s="2560" t="s">
        <v>163</v>
      </c>
      <c r="AC18" s="2561"/>
      <c r="AD18" s="2561"/>
      <c r="AE18" s="2561"/>
      <c r="AF18" s="2561"/>
      <c r="AG18" s="2562"/>
      <c r="AH18" s="2560" t="s">
        <v>164</v>
      </c>
      <c r="AI18" s="2561"/>
      <c r="AJ18" s="2561"/>
      <c r="AK18" s="2561"/>
      <c r="AL18" s="2561"/>
      <c r="AM18" s="2562"/>
      <c r="AN18" s="2560" t="s">
        <v>165</v>
      </c>
      <c r="AO18" s="2561"/>
      <c r="AP18" s="2561"/>
      <c r="AQ18" s="2561"/>
      <c r="AR18" s="2561"/>
      <c r="AS18" s="2562"/>
      <c r="AT18" s="2560" t="s">
        <v>1796</v>
      </c>
      <c r="AU18" s="2561"/>
      <c r="AV18" s="2561"/>
      <c r="AW18" s="2561"/>
      <c r="AX18" s="2561"/>
      <c r="AY18" s="2563"/>
      <c r="AZ18" s="1206"/>
      <c r="BA18" s="1206"/>
      <c r="BB18" s="1206"/>
      <c r="BC18" s="1206"/>
      <c r="BD18" s="1206"/>
      <c r="BE18" s="1202"/>
    </row>
    <row r="19" spans="1:58" ht="15">
      <c r="A19" s="1206"/>
      <c r="B19" s="2534">
        <v>0.3</v>
      </c>
      <c r="C19" s="2535"/>
      <c r="D19" s="2535"/>
      <c r="E19" s="2535"/>
      <c r="F19" s="2535"/>
      <c r="G19" s="2535"/>
      <c r="H19" s="2535"/>
      <c r="I19" s="2536"/>
      <c r="J19" s="2537">
        <f t="shared" ref="J19:J28" si="0">SUM(P19:AS19)</f>
        <v>40</v>
      </c>
      <c r="K19" s="2538"/>
      <c r="L19" s="2538"/>
      <c r="M19" s="2538"/>
      <c r="N19" s="2538"/>
      <c r="O19" s="2539"/>
      <c r="P19" s="2537" cm="1">
        <f t="array" ref="P19">SUMPRODUCT((Application!$B$718:$B$752 = 'CalHFA Addendum'!P$18)*(Application!$AC$718:$AC$752 = 'CalHFA Addendum'!$B19),Application!$G$718:$G$752)</f>
        <v>0</v>
      </c>
      <c r="Q19" s="2538"/>
      <c r="R19" s="2538"/>
      <c r="S19" s="2538"/>
      <c r="T19" s="2538"/>
      <c r="U19" s="2539"/>
      <c r="V19" s="2537" cm="1">
        <f t="array" ref="V19">SUMPRODUCT((Application!$B$714:$B$738 = 'CalHFA Addendum'!V$18)*(Application!$AC$714:$AC$738 = 'CalHFA Addendum'!$B19),Application!$G$714:$G$738)</f>
        <v>20</v>
      </c>
      <c r="W19" s="2538"/>
      <c r="X19" s="2538"/>
      <c r="Y19" s="2538"/>
      <c r="Z19" s="2538"/>
      <c r="AA19" s="2539"/>
      <c r="AB19" s="2537" cm="1">
        <f t="array" ref="AB19">SUMPRODUCT((Application!$B$714:$B$738 = 'CalHFA Addendum'!AB$18)*(Application!$AC$714:$AC$738 = 'CalHFA Addendum'!$B19),Application!$G$714:$G$738)</f>
        <v>10</v>
      </c>
      <c r="AC19" s="2538"/>
      <c r="AD19" s="2538"/>
      <c r="AE19" s="2538"/>
      <c r="AF19" s="2538"/>
      <c r="AG19" s="2539"/>
      <c r="AH19" s="2537" cm="1">
        <f t="array" ref="AH19">SUMPRODUCT((Application!$B$714:$B$738 = 'CalHFA Addendum'!AH$18)*(Application!$AC$714:$AC$738 = 'CalHFA Addendum'!$B19),Application!$G$714:$G$738)</f>
        <v>10</v>
      </c>
      <c r="AI19" s="2538"/>
      <c r="AJ19" s="2538"/>
      <c r="AK19" s="2538"/>
      <c r="AL19" s="2538"/>
      <c r="AM19" s="2539"/>
      <c r="AN19" s="2537" cm="1">
        <f t="array" ref="AN19">SUMPRODUCT((Application!$B$714:$B$738 = 'CalHFA Addendum'!AN$18)*(Application!$AC$714:$AC$738 = 'CalHFA Addendum'!$B19),Application!$G$714:$G$738)</f>
        <v>0</v>
      </c>
      <c r="AO19" s="2538"/>
      <c r="AP19" s="2538"/>
      <c r="AQ19" s="2538"/>
      <c r="AR19" s="2538"/>
      <c r="AS19" s="2539"/>
      <c r="AT19" s="2540">
        <f t="shared" ref="AT19:AT29" si="1">J19/$J$29</f>
        <v>0.25316455696202533</v>
      </c>
      <c r="AU19" s="2541"/>
      <c r="AV19" s="2541"/>
      <c r="AW19" s="2541"/>
      <c r="AX19" s="2541"/>
      <c r="AY19" s="2542"/>
      <c r="AZ19" s="1217"/>
      <c r="BA19" s="1206"/>
      <c r="BB19" s="1206"/>
      <c r="BC19" s="1206"/>
      <c r="BD19" s="1206"/>
      <c r="BE19" s="1202"/>
    </row>
    <row r="20" spans="1:58" ht="15" customHeight="1">
      <c r="A20" s="1206"/>
      <c r="B20" s="2534">
        <v>0.4</v>
      </c>
      <c r="C20" s="2535"/>
      <c r="D20" s="2535"/>
      <c r="E20" s="2535"/>
      <c r="F20" s="2535"/>
      <c r="G20" s="2535"/>
      <c r="H20" s="2535"/>
      <c r="I20" s="2536"/>
      <c r="J20" s="2537">
        <f t="shared" si="0"/>
        <v>0</v>
      </c>
      <c r="K20" s="2538"/>
      <c r="L20" s="2538"/>
      <c r="M20" s="2538"/>
      <c r="N20" s="2538"/>
      <c r="O20" s="2539"/>
      <c r="P20" s="2537" cm="1">
        <f t="array" ref="P20">SUMPRODUCT((Application!$B$718:$B$752 = 'CalHFA Addendum'!P$18)*(Application!$AC$718:$AC$752 = 'CalHFA Addendum'!$B20),Application!$G$718:$G$752)</f>
        <v>0</v>
      </c>
      <c r="Q20" s="2538"/>
      <c r="R20" s="2538"/>
      <c r="S20" s="2538"/>
      <c r="T20" s="2538"/>
      <c r="U20" s="2539"/>
      <c r="V20" s="2537" cm="1">
        <f t="array" ref="V20">SUMPRODUCT((Application!$B$714:$B$738 = 'CalHFA Addendum'!V$18)*(Application!$AC$714:$AC$738 = 'CalHFA Addendum'!$B20),Application!$G$714:$G$738)</f>
        <v>0</v>
      </c>
      <c r="W20" s="2538"/>
      <c r="X20" s="2538"/>
      <c r="Y20" s="2538"/>
      <c r="Z20" s="2538"/>
      <c r="AA20" s="2539"/>
      <c r="AB20" s="2537" cm="1">
        <f t="array" ref="AB20">SUMPRODUCT((Application!$B$714:$B$738 = 'CalHFA Addendum'!AB$18)*(Application!$AC$714:$AC$738 = 'CalHFA Addendum'!$B20),Application!$G$714:$G$738)</f>
        <v>0</v>
      </c>
      <c r="AC20" s="2538"/>
      <c r="AD20" s="2538"/>
      <c r="AE20" s="2538"/>
      <c r="AF20" s="2538"/>
      <c r="AG20" s="2539"/>
      <c r="AH20" s="2537" cm="1">
        <f t="array" ref="AH20">SUMPRODUCT((Application!$B$714:$B$738 = 'CalHFA Addendum'!AH$18)*(Application!$AC$714:$AC$738 = 'CalHFA Addendum'!$B20),Application!$G$714:$G$738)</f>
        <v>0</v>
      </c>
      <c r="AI20" s="2538"/>
      <c r="AJ20" s="2538"/>
      <c r="AK20" s="2538"/>
      <c r="AL20" s="2538"/>
      <c r="AM20" s="2539"/>
      <c r="AN20" s="2537" cm="1">
        <f t="array" ref="AN20">SUMPRODUCT((Application!$B$714:$B$738 = 'CalHFA Addendum'!AN$18)*(Application!$AC$714:$AC$738 = 'CalHFA Addendum'!$B20),Application!$G$714:$G$738)</f>
        <v>0</v>
      </c>
      <c r="AO20" s="2538"/>
      <c r="AP20" s="2538"/>
      <c r="AQ20" s="2538"/>
      <c r="AR20" s="2538"/>
      <c r="AS20" s="2539"/>
      <c r="AT20" s="2540">
        <f t="shared" si="1"/>
        <v>0</v>
      </c>
      <c r="AU20" s="2541"/>
      <c r="AV20" s="2541"/>
      <c r="AW20" s="2541"/>
      <c r="AX20" s="2541"/>
      <c r="AY20" s="2542"/>
      <c r="AZ20" s="1206"/>
      <c r="BA20" s="1206"/>
      <c r="BB20" s="1206"/>
      <c r="BC20" s="1206"/>
      <c r="BD20" s="1206"/>
      <c r="BE20" s="1202"/>
    </row>
    <row r="21" spans="1:58" ht="15">
      <c r="A21" s="1206"/>
      <c r="B21" s="2534">
        <v>0.5</v>
      </c>
      <c r="C21" s="2535"/>
      <c r="D21" s="2535"/>
      <c r="E21" s="2535"/>
      <c r="F21" s="2535"/>
      <c r="G21" s="2535"/>
      <c r="H21" s="2535"/>
      <c r="I21" s="2536"/>
      <c r="J21" s="2537">
        <f t="shared" si="0"/>
        <v>12</v>
      </c>
      <c r="K21" s="2538"/>
      <c r="L21" s="2538"/>
      <c r="M21" s="2538"/>
      <c r="N21" s="2538"/>
      <c r="O21" s="2539"/>
      <c r="P21" s="2537" cm="1">
        <f t="array" ref="P21">SUMPRODUCT((Application!$B$714:$B$738 = 'CalHFA Addendum'!P$18)*(Application!$AC$714:$AC$738 = 'CalHFA Addendum'!$B21),Application!$G$714:$G$738)</f>
        <v>0</v>
      </c>
      <c r="Q21" s="2538"/>
      <c r="R21" s="2538"/>
      <c r="S21" s="2538"/>
      <c r="T21" s="2538"/>
      <c r="U21" s="2539"/>
      <c r="V21" s="2537" cm="1">
        <f t="array" ref="V21">SUMPRODUCT((Application!$B$714:$B$738 = 'CalHFA Addendum'!V$18)*(Application!$AC$714:$AC$738 = 'CalHFA Addendum'!$B21),Application!$G$714:$G$738)</f>
        <v>6</v>
      </c>
      <c r="W21" s="2538"/>
      <c r="X21" s="2538"/>
      <c r="Y21" s="2538"/>
      <c r="Z21" s="2538"/>
      <c r="AA21" s="2539"/>
      <c r="AB21" s="2537" cm="1">
        <f t="array" ref="AB21">SUMPRODUCT((Application!$B$714:$B$738 = 'CalHFA Addendum'!AB$18)*(Application!$AC$714:$AC$738 = 'CalHFA Addendum'!$B21),Application!$G$714:$G$738)</f>
        <v>3</v>
      </c>
      <c r="AC21" s="2538"/>
      <c r="AD21" s="2538"/>
      <c r="AE21" s="2538"/>
      <c r="AF21" s="2538"/>
      <c r="AG21" s="2539"/>
      <c r="AH21" s="2537" cm="1">
        <f t="array" ref="AH21">SUMPRODUCT((Application!$B$714:$B$738 = 'CalHFA Addendum'!AH$18)*(Application!$AC$714:$AC$738 = 'CalHFA Addendum'!$B21),Application!$G$714:$G$738)</f>
        <v>3</v>
      </c>
      <c r="AI21" s="2538"/>
      <c r="AJ21" s="2538"/>
      <c r="AK21" s="2538"/>
      <c r="AL21" s="2538"/>
      <c r="AM21" s="2539"/>
      <c r="AN21" s="2537" cm="1">
        <f t="array" ref="AN21">SUMPRODUCT((Application!$B$714:$B$738 = 'CalHFA Addendum'!AN$18)*(Application!$AC$714:$AC$738 = 'CalHFA Addendum'!$B21),Application!$G$714:$G$738)</f>
        <v>0</v>
      </c>
      <c r="AO21" s="2538"/>
      <c r="AP21" s="2538"/>
      <c r="AQ21" s="2538"/>
      <c r="AR21" s="2538"/>
      <c r="AS21" s="2539"/>
      <c r="AT21" s="2540">
        <f t="shared" si="1"/>
        <v>7.5949367088607597E-2</v>
      </c>
      <c r="AU21" s="2541"/>
      <c r="AV21" s="2541"/>
      <c r="AW21" s="2541"/>
      <c r="AX21" s="2541"/>
      <c r="AY21" s="2542"/>
      <c r="AZ21" s="1206"/>
      <c r="BA21" s="1206"/>
      <c r="BB21" s="1206"/>
      <c r="BC21" s="1206"/>
      <c r="BD21" s="1206"/>
      <c r="BE21" s="1202"/>
    </row>
    <row r="22" spans="1:58" ht="15">
      <c r="A22" s="1206"/>
      <c r="B22" s="2534">
        <v>0.6</v>
      </c>
      <c r="C22" s="2535"/>
      <c r="D22" s="2535"/>
      <c r="E22" s="2535"/>
      <c r="F22" s="2535"/>
      <c r="G22" s="2535"/>
      <c r="H22" s="2535"/>
      <c r="I22" s="2536"/>
      <c r="J22" s="2537">
        <f t="shared" si="0"/>
        <v>90</v>
      </c>
      <c r="K22" s="2538"/>
      <c r="L22" s="2538"/>
      <c r="M22" s="2538"/>
      <c r="N22" s="2538"/>
      <c r="O22" s="2539"/>
      <c r="P22" s="2537" cm="1">
        <f t="array" ref="P22">SUMPRODUCT((Application!$B$714:$B$738 = 'CalHFA Addendum'!P$18)*(Application!$AC$714:$AC$738 = 'CalHFA Addendum'!$B22),Application!$G$714:$G$738)</f>
        <v>0</v>
      </c>
      <c r="Q22" s="2538"/>
      <c r="R22" s="2538"/>
      <c r="S22" s="2538"/>
      <c r="T22" s="2538"/>
      <c r="U22" s="2539"/>
      <c r="V22" s="2537" cm="1">
        <f t="array" ref="V22">SUMPRODUCT((Application!$B$714:$B$738 = 'CalHFA Addendum'!V$18)*(Application!$AC$714:$AC$738 = 'CalHFA Addendum'!$B22),Application!$G$714:$G$738)</f>
        <v>42</v>
      </c>
      <c r="W22" s="2538"/>
      <c r="X22" s="2538"/>
      <c r="Y22" s="2538"/>
      <c r="Z22" s="2538"/>
      <c r="AA22" s="2539"/>
      <c r="AB22" s="2537" cm="1">
        <f t="array" ref="AB22">SUMPRODUCT((Application!$B$714:$B$738 = 'CalHFA Addendum'!AB$18)*(Application!$AC$714:$AC$738 = 'CalHFA Addendum'!$B22),Application!$G$714:$G$738)</f>
        <v>25</v>
      </c>
      <c r="AC22" s="2538"/>
      <c r="AD22" s="2538"/>
      <c r="AE22" s="2538"/>
      <c r="AF22" s="2538"/>
      <c r="AG22" s="2539"/>
      <c r="AH22" s="2537" cm="1">
        <f t="array" ref="AH22">SUMPRODUCT((Application!$B$714:$B$738 = 'CalHFA Addendum'!AH$18)*(Application!$AC$714:$AC$738 = 'CalHFA Addendum'!$B22),Application!$G$714:$G$738)</f>
        <v>23</v>
      </c>
      <c r="AI22" s="2538"/>
      <c r="AJ22" s="2538"/>
      <c r="AK22" s="2538"/>
      <c r="AL22" s="2538"/>
      <c r="AM22" s="2539"/>
      <c r="AN22" s="2537" cm="1">
        <f t="array" ref="AN22">SUMPRODUCT((Application!$B$714:$B$738 = 'CalHFA Addendum'!AN$18)*(Application!$AC$714:$AC$738 = 'CalHFA Addendum'!$B22),Application!$G$714:$G$738)</f>
        <v>0</v>
      </c>
      <c r="AO22" s="2538"/>
      <c r="AP22" s="2538"/>
      <c r="AQ22" s="2538"/>
      <c r="AR22" s="2538"/>
      <c r="AS22" s="2539"/>
      <c r="AT22" s="2540">
        <f t="shared" si="1"/>
        <v>0.569620253164557</v>
      </c>
      <c r="AU22" s="2541"/>
      <c r="AV22" s="2541"/>
      <c r="AW22" s="2541"/>
      <c r="AX22" s="2541"/>
      <c r="AY22" s="2542"/>
      <c r="AZ22" s="1206"/>
      <c r="BA22" s="1206"/>
      <c r="BB22" s="1206"/>
      <c r="BC22" s="1206"/>
      <c r="BD22" s="1206"/>
      <c r="BE22" s="1202"/>
    </row>
    <row r="23" spans="1:58" ht="15">
      <c r="A23" s="1206"/>
      <c r="B23" s="2534">
        <v>0.7</v>
      </c>
      <c r="C23" s="2535"/>
      <c r="D23" s="2535"/>
      <c r="E23" s="2535"/>
      <c r="F23" s="2535"/>
      <c r="G23" s="2535"/>
      <c r="H23" s="2535"/>
      <c r="I23" s="2536"/>
      <c r="J23" s="2537">
        <f t="shared" si="0"/>
        <v>16</v>
      </c>
      <c r="K23" s="2538"/>
      <c r="L23" s="2538"/>
      <c r="M23" s="2538"/>
      <c r="N23" s="2538"/>
      <c r="O23" s="2539"/>
      <c r="P23" s="2537" cm="1">
        <f t="array" ref="P23">SUMPRODUCT((Application!$B$714:$B$738 = 'CalHFA Addendum'!P$18)*(Application!$AC$714:$AC$738 = 'CalHFA Addendum'!$B23),Application!$G$714:$G$738)</f>
        <v>0</v>
      </c>
      <c r="Q23" s="2538"/>
      <c r="R23" s="2538"/>
      <c r="S23" s="2538"/>
      <c r="T23" s="2538"/>
      <c r="U23" s="2539"/>
      <c r="V23" s="2537" cm="1">
        <f t="array" ref="V23">SUMPRODUCT((Application!$B$714:$B$738 = 'CalHFA Addendum'!V$18)*(Application!$AC$714:$AC$738 = 'CalHFA Addendum'!$B23),Application!$G$714:$G$738)</f>
        <v>8</v>
      </c>
      <c r="W23" s="2538"/>
      <c r="X23" s="2538"/>
      <c r="Y23" s="2538"/>
      <c r="Z23" s="2538"/>
      <c r="AA23" s="2539"/>
      <c r="AB23" s="2537" cm="1">
        <f t="array" ref="AB23">SUMPRODUCT((Application!$B$714:$B$738 = 'CalHFA Addendum'!AB$18)*(Application!$AC$714:$AC$738 = 'CalHFA Addendum'!$B23),Application!$G$714:$G$738)</f>
        <v>4</v>
      </c>
      <c r="AC23" s="2538"/>
      <c r="AD23" s="2538"/>
      <c r="AE23" s="2538"/>
      <c r="AF23" s="2538"/>
      <c r="AG23" s="2539"/>
      <c r="AH23" s="2537" cm="1">
        <f t="array" ref="AH23">SUMPRODUCT((Application!$B$714:$B$738 = 'CalHFA Addendum'!AH$18)*(Application!$AC$714:$AC$738 = 'CalHFA Addendum'!$B23),Application!$G$714:$G$738)</f>
        <v>4</v>
      </c>
      <c r="AI23" s="2538"/>
      <c r="AJ23" s="2538"/>
      <c r="AK23" s="2538"/>
      <c r="AL23" s="2538"/>
      <c r="AM23" s="2539"/>
      <c r="AN23" s="2537" cm="1">
        <f t="array" ref="AN23">SUMPRODUCT((Application!$B$714:$B$738 = 'CalHFA Addendum'!AN$18)*(Application!$AC$714:$AC$738 = 'CalHFA Addendum'!$B23),Application!$G$714:$G$738)</f>
        <v>0</v>
      </c>
      <c r="AO23" s="2538"/>
      <c r="AP23" s="2538"/>
      <c r="AQ23" s="2538"/>
      <c r="AR23" s="2538"/>
      <c r="AS23" s="2539"/>
      <c r="AT23" s="2540">
        <f t="shared" si="1"/>
        <v>0.10126582278481013</v>
      </c>
      <c r="AU23" s="2541"/>
      <c r="AV23" s="2541"/>
      <c r="AW23" s="2541"/>
      <c r="AX23" s="2541"/>
      <c r="AY23" s="2542"/>
      <c r="AZ23" s="1206"/>
      <c r="BA23" s="1206"/>
      <c r="BB23" s="1206"/>
      <c r="BC23" s="1206"/>
      <c r="BD23" s="1206"/>
      <c r="BE23" s="1202"/>
    </row>
    <row r="24" spans="1:58" ht="15">
      <c r="A24" s="1206"/>
      <c r="B24" s="2534">
        <v>0.8</v>
      </c>
      <c r="C24" s="2535"/>
      <c r="D24" s="2535"/>
      <c r="E24" s="2535"/>
      <c r="F24" s="2535"/>
      <c r="G24" s="2535"/>
      <c r="H24" s="2535"/>
      <c r="I24" s="2536"/>
      <c r="J24" s="2537">
        <f t="shared" si="0"/>
        <v>0</v>
      </c>
      <c r="K24" s="2538"/>
      <c r="L24" s="2538"/>
      <c r="M24" s="2538"/>
      <c r="N24" s="2538"/>
      <c r="O24" s="2539"/>
      <c r="P24" s="2537" cm="1">
        <f t="array" ref="P24">SUMPRODUCT((Application!$B$714:$B$738 = 'CalHFA Addendum'!P$18)*(Application!$AC$714:$AC$738 = 'CalHFA Addendum'!$B24),Application!$G$714:$G$738)</f>
        <v>0</v>
      </c>
      <c r="Q24" s="2538"/>
      <c r="R24" s="2538"/>
      <c r="S24" s="2538"/>
      <c r="T24" s="2538"/>
      <c r="U24" s="2539"/>
      <c r="V24" s="2537" cm="1">
        <f t="array" ref="V24">SUMPRODUCT((Application!$B$714:$B$738 = 'CalHFA Addendum'!V$18)*(Application!$AC$714:$AC$738 = 'CalHFA Addendum'!$B24),Application!$G$714:$G$738)</f>
        <v>0</v>
      </c>
      <c r="W24" s="2538"/>
      <c r="X24" s="2538"/>
      <c r="Y24" s="2538"/>
      <c r="Z24" s="2538"/>
      <c r="AA24" s="2539"/>
      <c r="AB24" s="2537" cm="1">
        <f t="array" ref="AB24">SUMPRODUCT((Application!$B$714:$B$738 = 'CalHFA Addendum'!AB$18)*(Application!$AC$714:$AC$738 = 'CalHFA Addendum'!$B24),Application!$G$714:$G$738)</f>
        <v>0</v>
      </c>
      <c r="AC24" s="2538"/>
      <c r="AD24" s="2538"/>
      <c r="AE24" s="2538"/>
      <c r="AF24" s="2538"/>
      <c r="AG24" s="2539"/>
      <c r="AH24" s="2537" cm="1">
        <f t="array" ref="AH24">SUMPRODUCT((Application!$B$714:$B$738 = 'CalHFA Addendum'!AH$18)*(Application!$AC$714:$AC$738 = 'CalHFA Addendum'!$B24),Application!$G$714:$G$738)</f>
        <v>0</v>
      </c>
      <c r="AI24" s="2538"/>
      <c r="AJ24" s="2538"/>
      <c r="AK24" s="2538"/>
      <c r="AL24" s="2538"/>
      <c r="AM24" s="2539"/>
      <c r="AN24" s="2537" cm="1">
        <f t="array" ref="AN24">SUMPRODUCT((Application!$B$714:$B$738 = 'CalHFA Addendum'!AN$18)*(Application!$AC$714:$AC$738 = 'CalHFA Addendum'!$B24),Application!$G$714:$G$738)</f>
        <v>0</v>
      </c>
      <c r="AO24" s="2538"/>
      <c r="AP24" s="2538"/>
      <c r="AQ24" s="2538"/>
      <c r="AR24" s="2538"/>
      <c r="AS24" s="2539"/>
      <c r="AT24" s="2540">
        <f t="shared" si="1"/>
        <v>0</v>
      </c>
      <c r="AU24" s="2541"/>
      <c r="AV24" s="2541"/>
      <c r="AW24" s="2541"/>
      <c r="AX24" s="2541"/>
      <c r="AY24" s="2542"/>
      <c r="AZ24" s="1206"/>
      <c r="BA24" s="1206"/>
      <c r="BB24" s="1206"/>
      <c r="BC24" s="1206"/>
      <c r="BD24" s="1206"/>
      <c r="BE24" s="1202"/>
    </row>
    <row r="25" spans="1:58" ht="15">
      <c r="A25" s="1206"/>
      <c r="B25" s="2534">
        <v>0.9</v>
      </c>
      <c r="C25" s="2535"/>
      <c r="D25" s="2535"/>
      <c r="E25" s="2535"/>
      <c r="F25" s="2535"/>
      <c r="G25" s="2535"/>
      <c r="H25" s="2535"/>
      <c r="I25" s="2536"/>
      <c r="J25" s="2537">
        <f t="shared" si="0"/>
        <v>0</v>
      </c>
      <c r="K25" s="2538"/>
      <c r="L25" s="2538"/>
      <c r="M25" s="2538"/>
      <c r="N25" s="2538"/>
      <c r="O25" s="2539"/>
      <c r="P25" s="2537" cm="1">
        <f t="array" ref="P25">SUMPRODUCT((Application!$B$714:$B$738 = 'CalHFA Addendum'!P$18)*(Application!$AC$714:$AC$738 = 'CalHFA Addendum'!$B25),Application!$G$714:$G$738)</f>
        <v>0</v>
      </c>
      <c r="Q25" s="2538"/>
      <c r="R25" s="2538"/>
      <c r="S25" s="2538"/>
      <c r="T25" s="2538"/>
      <c r="U25" s="2539"/>
      <c r="V25" s="2537" cm="1">
        <f t="array" ref="V25">SUMPRODUCT((Application!$B$714:$B$738 = 'CalHFA Addendum'!V$18)*(Application!$AC$714:$AC$738 = 'CalHFA Addendum'!$B25),Application!$G$714:$G$738)</f>
        <v>0</v>
      </c>
      <c r="W25" s="2538"/>
      <c r="X25" s="2538"/>
      <c r="Y25" s="2538"/>
      <c r="Z25" s="2538"/>
      <c r="AA25" s="2539"/>
      <c r="AB25" s="2537" cm="1">
        <f t="array" ref="AB25">SUMPRODUCT((Application!$B$714:$B$738 = 'CalHFA Addendum'!AB$18)*(Application!$AC$714:$AC$738 = 'CalHFA Addendum'!$B25),Application!$G$714:$G$738)</f>
        <v>0</v>
      </c>
      <c r="AC25" s="2538"/>
      <c r="AD25" s="2538"/>
      <c r="AE25" s="2538"/>
      <c r="AF25" s="2538"/>
      <c r="AG25" s="2539"/>
      <c r="AH25" s="2537" cm="1">
        <f t="array" ref="AH25">SUMPRODUCT((Application!$B$714:$B$738 = 'CalHFA Addendum'!AH$18)*(Application!$AC$714:$AC$738 = 'CalHFA Addendum'!$B25),Application!$G$714:$G$738)</f>
        <v>0</v>
      </c>
      <c r="AI25" s="2538"/>
      <c r="AJ25" s="2538"/>
      <c r="AK25" s="2538"/>
      <c r="AL25" s="2538"/>
      <c r="AM25" s="2539"/>
      <c r="AN25" s="2537" cm="1">
        <f t="array" ref="AN25">SUMPRODUCT((Application!$B$714:$B$738 = 'CalHFA Addendum'!AN$18)*(Application!$AC$714:$AC$738 = 'CalHFA Addendum'!$B25),Application!$G$714:$G$738)</f>
        <v>0</v>
      </c>
      <c r="AO25" s="2538"/>
      <c r="AP25" s="2538"/>
      <c r="AQ25" s="2538"/>
      <c r="AR25" s="2538"/>
      <c r="AS25" s="2539"/>
      <c r="AT25" s="2540">
        <f t="shared" si="1"/>
        <v>0</v>
      </c>
      <c r="AU25" s="2541"/>
      <c r="AV25" s="2541"/>
      <c r="AW25" s="2541"/>
      <c r="AX25" s="2541"/>
      <c r="AY25" s="2542"/>
      <c r="AZ25" s="1206"/>
      <c r="BA25" s="1206"/>
      <c r="BB25" s="1206"/>
      <c r="BC25" s="1206"/>
      <c r="BD25" s="1206"/>
      <c r="BE25" s="1202"/>
    </row>
    <row r="26" spans="1:58" ht="15">
      <c r="A26" s="1206"/>
      <c r="B26" s="2534">
        <v>1</v>
      </c>
      <c r="C26" s="2535"/>
      <c r="D26" s="2535"/>
      <c r="E26" s="2535"/>
      <c r="F26" s="2535"/>
      <c r="G26" s="2535"/>
      <c r="H26" s="2535"/>
      <c r="I26" s="2536"/>
      <c r="J26" s="2537">
        <f t="shared" si="0"/>
        <v>0</v>
      </c>
      <c r="K26" s="2538"/>
      <c r="L26" s="2538"/>
      <c r="M26" s="2538"/>
      <c r="N26" s="2538"/>
      <c r="O26" s="2539"/>
      <c r="P26" s="2537" cm="1">
        <f t="array" ref="P26">SUMPRODUCT((Application!$B$714:$B$738 = 'CalHFA Addendum'!P$18)*(Application!$AC$714:$AC$738 = 'CalHFA Addendum'!$B26),Application!$G$714:$G$738)</f>
        <v>0</v>
      </c>
      <c r="Q26" s="2538"/>
      <c r="R26" s="2538"/>
      <c r="S26" s="2538"/>
      <c r="T26" s="2538"/>
      <c r="U26" s="2539"/>
      <c r="V26" s="2537" cm="1">
        <f t="array" ref="V26">SUMPRODUCT((Application!$B$714:$B$738 = 'CalHFA Addendum'!V$18)*(Application!$AC$714:$AC$738 = 'CalHFA Addendum'!$B26),Application!$G$714:$G$738)</f>
        <v>0</v>
      </c>
      <c r="W26" s="2538"/>
      <c r="X26" s="2538"/>
      <c r="Y26" s="2538"/>
      <c r="Z26" s="2538"/>
      <c r="AA26" s="2539"/>
      <c r="AB26" s="2537" cm="1">
        <f t="array" ref="AB26">SUMPRODUCT((Application!$B$714:$B$738 = 'CalHFA Addendum'!AB$18)*(Application!$AC$714:$AC$738 = 'CalHFA Addendum'!$B26),Application!$G$714:$G$738)</f>
        <v>0</v>
      </c>
      <c r="AC26" s="2538"/>
      <c r="AD26" s="2538"/>
      <c r="AE26" s="2538"/>
      <c r="AF26" s="2538"/>
      <c r="AG26" s="2539"/>
      <c r="AH26" s="2537" cm="1">
        <f t="array" ref="AH26">SUMPRODUCT((Application!$B$714:$B$738 = 'CalHFA Addendum'!AH$18)*(Application!$AC$714:$AC$738 = 'CalHFA Addendum'!$B26),Application!$G$714:$G$738)</f>
        <v>0</v>
      </c>
      <c r="AI26" s="2538"/>
      <c r="AJ26" s="2538"/>
      <c r="AK26" s="2538"/>
      <c r="AL26" s="2538"/>
      <c r="AM26" s="2539"/>
      <c r="AN26" s="2537" cm="1">
        <f t="array" ref="AN26">SUMPRODUCT((Application!$B$714:$B$738 = 'CalHFA Addendum'!AN$18)*(Application!$AC$714:$AC$738 = 'CalHFA Addendum'!$B26),Application!$G$714:$G$738)</f>
        <v>0</v>
      </c>
      <c r="AO26" s="2538"/>
      <c r="AP26" s="2538"/>
      <c r="AQ26" s="2538"/>
      <c r="AR26" s="2538"/>
      <c r="AS26" s="2539"/>
      <c r="AT26" s="2540">
        <f t="shared" si="1"/>
        <v>0</v>
      </c>
      <c r="AU26" s="2541"/>
      <c r="AV26" s="2541"/>
      <c r="AW26" s="2541"/>
      <c r="AX26" s="2541"/>
      <c r="AY26" s="2542"/>
      <c r="AZ26" s="1206"/>
      <c r="BA26" s="1206"/>
      <c r="BB26" s="1206"/>
      <c r="BC26" s="1206"/>
      <c r="BD26" s="1206"/>
      <c r="BE26" s="1202"/>
    </row>
    <row r="27" spans="1:58" ht="15">
      <c r="A27" s="1206"/>
      <c r="B27" s="2534">
        <v>1.1000000000000001</v>
      </c>
      <c r="C27" s="2535"/>
      <c r="D27" s="2535"/>
      <c r="E27" s="2535"/>
      <c r="F27" s="2535"/>
      <c r="G27" s="2535"/>
      <c r="H27" s="2535"/>
      <c r="I27" s="2536"/>
      <c r="J27" s="2537">
        <f t="shared" si="0"/>
        <v>0</v>
      </c>
      <c r="K27" s="2538"/>
      <c r="L27" s="2538"/>
      <c r="M27" s="2538"/>
      <c r="N27" s="2538"/>
      <c r="O27" s="2539"/>
      <c r="P27" s="2537" cm="1">
        <f t="array" ref="P27">SUMPRODUCT((Application!$B$714:$B$738 = 'CalHFA Addendum'!P$18)*(Application!$AC$714:$AC$738 = 'CalHFA Addendum'!$B27),Application!$G$714:$G$738)</f>
        <v>0</v>
      </c>
      <c r="Q27" s="2538"/>
      <c r="R27" s="2538"/>
      <c r="S27" s="2538"/>
      <c r="T27" s="2538"/>
      <c r="U27" s="2539"/>
      <c r="V27" s="2537" cm="1">
        <f t="array" ref="V27">SUMPRODUCT((Application!$B$714:$B$738 = 'CalHFA Addendum'!V$18)*(Application!$AC$714:$AC$738 = 'CalHFA Addendum'!$B27),Application!$G$714:$G$738)</f>
        <v>0</v>
      </c>
      <c r="W27" s="2538"/>
      <c r="X27" s="2538"/>
      <c r="Y27" s="2538"/>
      <c r="Z27" s="2538"/>
      <c r="AA27" s="2539"/>
      <c r="AB27" s="2537" cm="1">
        <f t="array" ref="AB27">SUMPRODUCT((Application!$B$714:$B$738 = 'CalHFA Addendum'!AB$18)*(Application!$AC$714:$AC$738 = 'CalHFA Addendum'!$B27),Application!$G$714:$G$738)</f>
        <v>0</v>
      </c>
      <c r="AC27" s="2538"/>
      <c r="AD27" s="2538"/>
      <c r="AE27" s="2538"/>
      <c r="AF27" s="2538"/>
      <c r="AG27" s="2539"/>
      <c r="AH27" s="2537" cm="1">
        <f t="array" ref="AH27">SUMPRODUCT((Application!$B$714:$B$738 = 'CalHFA Addendum'!AH$18)*(Application!$AC$714:$AC$738 = 'CalHFA Addendum'!$B27),Application!$G$714:$G$738)</f>
        <v>0</v>
      </c>
      <c r="AI27" s="2538"/>
      <c r="AJ27" s="2538"/>
      <c r="AK27" s="2538"/>
      <c r="AL27" s="2538"/>
      <c r="AM27" s="2539"/>
      <c r="AN27" s="2537" cm="1">
        <f t="array" ref="AN27">SUMPRODUCT((Application!$B$714:$B$738 = 'CalHFA Addendum'!AN$18)*(Application!$AC$714:$AC$738 = 'CalHFA Addendum'!$B27),Application!$G$714:$G$738)</f>
        <v>0</v>
      </c>
      <c r="AO27" s="2538"/>
      <c r="AP27" s="2538"/>
      <c r="AQ27" s="2538"/>
      <c r="AR27" s="2538"/>
      <c r="AS27" s="2539"/>
      <c r="AT27" s="2540">
        <f t="shared" si="1"/>
        <v>0</v>
      </c>
      <c r="AU27" s="2541"/>
      <c r="AV27" s="2541"/>
      <c r="AW27" s="2541"/>
      <c r="AX27" s="2541"/>
      <c r="AY27" s="2542"/>
      <c r="AZ27" s="1206"/>
      <c r="BA27" s="1206"/>
      <c r="BB27" s="1206"/>
      <c r="BC27" s="1206"/>
      <c r="BD27" s="1206"/>
      <c r="BE27" s="1202"/>
    </row>
    <row r="28" spans="1:58" thickBot="1">
      <c r="A28" s="1206"/>
      <c r="B28" s="2543" t="s">
        <v>1797</v>
      </c>
      <c r="C28" s="2544"/>
      <c r="D28" s="2544"/>
      <c r="E28" s="2544"/>
      <c r="F28" s="2544"/>
      <c r="G28" s="2544"/>
      <c r="H28" s="2544"/>
      <c r="I28" s="2545"/>
      <c r="J28" s="2546">
        <f t="shared" si="0"/>
        <v>0</v>
      </c>
      <c r="K28" s="2547"/>
      <c r="L28" s="2547"/>
      <c r="M28" s="2547"/>
      <c r="N28" s="2547"/>
      <c r="O28" s="2548"/>
      <c r="P28" s="2546">
        <f>_xlfn.IFNA(VLOOKUP(P$18,Application!$J$758:$S$761,6,FALSE), 0)</f>
        <v>0</v>
      </c>
      <c r="Q28" s="2547"/>
      <c r="R28" s="2547"/>
      <c r="S28" s="2547"/>
      <c r="T28" s="2547"/>
      <c r="U28" s="2548"/>
      <c r="V28" s="2546">
        <f>_xlfn.IFNA(VLOOKUP(V$18,Application!$J$758:$S$761,6,FALSE), 0)</f>
        <v>0</v>
      </c>
      <c r="W28" s="2547"/>
      <c r="X28" s="2547"/>
      <c r="Y28" s="2547"/>
      <c r="Z28" s="2547"/>
      <c r="AA28" s="2548"/>
      <c r="AB28" s="2546">
        <f>_xlfn.IFNA(VLOOKUP(AB$18,Application!$J$758:$S$761,6,FALSE), 0)</f>
        <v>0</v>
      </c>
      <c r="AC28" s="2547"/>
      <c r="AD28" s="2547"/>
      <c r="AE28" s="2547"/>
      <c r="AF28" s="2547"/>
      <c r="AG28" s="2548"/>
      <c r="AH28" s="2546">
        <f>_xlfn.IFNA(VLOOKUP(AH$18,Application!$J$758:$S$761,6,FALSE), 0)</f>
        <v>0</v>
      </c>
      <c r="AI28" s="2547"/>
      <c r="AJ28" s="2547"/>
      <c r="AK28" s="2547"/>
      <c r="AL28" s="2547"/>
      <c r="AM28" s="2548"/>
      <c r="AN28" s="2546">
        <f>_xlfn.IFNA(VLOOKUP(AN$18,Application!$J$758:$S$761,6,FALSE), 0)</f>
        <v>0</v>
      </c>
      <c r="AO28" s="2547"/>
      <c r="AP28" s="2547"/>
      <c r="AQ28" s="2547"/>
      <c r="AR28" s="2547"/>
      <c r="AS28" s="2548"/>
      <c r="AT28" s="2549">
        <f t="shared" si="1"/>
        <v>0</v>
      </c>
      <c r="AU28" s="2550"/>
      <c r="AV28" s="2550"/>
      <c r="AW28" s="2550"/>
      <c r="AX28" s="2550"/>
      <c r="AY28" s="2551"/>
      <c r="AZ28" s="1206"/>
      <c r="BA28" s="1206"/>
      <c r="BB28" s="1206"/>
      <c r="BC28" s="1206"/>
      <c r="BD28" s="1206"/>
      <c r="BE28" s="1202"/>
    </row>
    <row r="29" spans="1:58" thickBot="1">
      <c r="A29" s="1206"/>
      <c r="B29" s="2523" t="s">
        <v>1696</v>
      </c>
      <c r="C29" s="2501"/>
      <c r="D29" s="2501"/>
      <c r="E29" s="2501"/>
      <c r="F29" s="2501"/>
      <c r="G29" s="2501"/>
      <c r="H29" s="2501"/>
      <c r="I29" s="2502"/>
      <c r="J29" s="2500">
        <f>SUM(J19:O28)</f>
        <v>158</v>
      </c>
      <c r="K29" s="2501"/>
      <c r="L29" s="2501"/>
      <c r="M29" s="2501"/>
      <c r="N29" s="2501"/>
      <c r="O29" s="2502"/>
      <c r="P29" s="2500">
        <f>SUM(P19:U28)</f>
        <v>0</v>
      </c>
      <c r="Q29" s="2501"/>
      <c r="R29" s="2501"/>
      <c r="S29" s="2501"/>
      <c r="T29" s="2501"/>
      <c r="U29" s="2502"/>
      <c r="V29" s="2500">
        <f>SUM(V19:AA28)</f>
        <v>76</v>
      </c>
      <c r="W29" s="2501"/>
      <c r="X29" s="2501"/>
      <c r="Y29" s="2501"/>
      <c r="Z29" s="2501"/>
      <c r="AA29" s="2502"/>
      <c r="AB29" s="2500">
        <f>SUM(AB19:AG28)</f>
        <v>42</v>
      </c>
      <c r="AC29" s="2501"/>
      <c r="AD29" s="2501"/>
      <c r="AE29" s="2501"/>
      <c r="AF29" s="2501"/>
      <c r="AG29" s="2502"/>
      <c r="AH29" s="2500">
        <f>SUM(AH19:AM28)</f>
        <v>40</v>
      </c>
      <c r="AI29" s="2501"/>
      <c r="AJ29" s="2501"/>
      <c r="AK29" s="2501"/>
      <c r="AL29" s="2501"/>
      <c r="AM29" s="2502"/>
      <c r="AN29" s="2500">
        <f>SUM(AN19:AS28)</f>
        <v>0</v>
      </c>
      <c r="AO29" s="2501"/>
      <c r="AP29" s="2501"/>
      <c r="AQ29" s="2501"/>
      <c r="AR29" s="2501"/>
      <c r="AS29" s="2502"/>
      <c r="AT29" s="2516">
        <f t="shared" si="1"/>
        <v>1</v>
      </c>
      <c r="AU29" s="2517"/>
      <c r="AV29" s="2517"/>
      <c r="AW29" s="2517"/>
      <c r="AX29" s="2517"/>
      <c r="AY29" s="251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4" t="s">
        <v>1798</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505"/>
      <c r="AT31" s="2505"/>
      <c r="AU31" s="2505"/>
      <c r="AV31" s="2505"/>
      <c r="AW31" s="2505"/>
      <c r="AX31" s="2505"/>
      <c r="AY31" s="2505"/>
      <c r="AZ31" s="2505"/>
      <c r="BA31" s="2505"/>
      <c r="BB31" s="2505"/>
      <c r="BC31" s="2505"/>
      <c r="BD31" s="2506"/>
      <c r="BE31" s="1202"/>
    </row>
    <row r="32" spans="1:58" thickBot="1">
      <c r="A32" s="1206"/>
      <c r="B32" s="2519" t="s">
        <v>2462</v>
      </c>
      <c r="C32" s="2520"/>
      <c r="D32" s="2520"/>
      <c r="E32" s="2520"/>
      <c r="F32" s="2520"/>
      <c r="G32" s="2520"/>
      <c r="H32" s="2520"/>
      <c r="I32" s="2520"/>
      <c r="J32" s="2552" t="s">
        <v>2463</v>
      </c>
      <c r="K32" s="2553"/>
      <c r="L32" s="2553"/>
      <c r="M32" s="2553"/>
      <c r="N32" s="2552" t="s">
        <v>1799</v>
      </c>
      <c r="O32" s="2553"/>
      <c r="P32" s="2553"/>
      <c r="Q32" s="2555"/>
      <c r="R32" s="2513" t="s">
        <v>1800</v>
      </c>
      <c r="S32" s="2514"/>
      <c r="T32" s="2514"/>
      <c r="U32" s="2514"/>
      <c r="V32" s="2514"/>
      <c r="W32" s="2514"/>
      <c r="X32" s="2514"/>
      <c r="Y32" s="2514"/>
      <c r="Z32" s="2514"/>
      <c r="AA32" s="2514"/>
      <c r="AB32" s="2514"/>
      <c r="AC32" s="2514"/>
      <c r="AD32" s="2514"/>
      <c r="AE32" s="2514"/>
      <c r="AF32" s="2514"/>
      <c r="AG32" s="2514"/>
      <c r="AH32" s="2514"/>
      <c r="AI32" s="2514"/>
      <c r="AJ32" s="2514"/>
      <c r="AK32" s="2514"/>
      <c r="AL32" s="2514"/>
      <c r="AM32" s="2514"/>
      <c r="AN32" s="2514"/>
      <c r="AO32" s="2514"/>
      <c r="AP32" s="2514"/>
      <c r="AQ32" s="2514"/>
      <c r="AR32" s="2514"/>
      <c r="AS32" s="2514"/>
      <c r="AT32" s="2514"/>
      <c r="AU32" s="2514"/>
      <c r="AV32" s="2514"/>
      <c r="AW32" s="2514"/>
      <c r="AX32" s="2514"/>
      <c r="AY32" s="2514"/>
      <c r="AZ32" s="2514"/>
      <c r="BA32" s="2514"/>
      <c r="BB32" s="2514"/>
      <c r="BC32" s="2514"/>
      <c r="BD32" s="2515"/>
      <c r="BE32" s="1202"/>
    </row>
    <row r="33" spans="1:58" ht="15" customHeight="1">
      <c r="A33" s="1206"/>
      <c r="B33" s="2521"/>
      <c r="C33" s="2522"/>
      <c r="D33" s="2522"/>
      <c r="E33" s="2522"/>
      <c r="F33" s="2522"/>
      <c r="G33" s="2522"/>
      <c r="H33" s="2522"/>
      <c r="I33" s="2522"/>
      <c r="J33" s="2554"/>
      <c r="K33" s="2554"/>
      <c r="L33" s="2554"/>
      <c r="M33" s="2554"/>
      <c r="N33" s="2554"/>
      <c r="O33" s="2554"/>
      <c r="P33" s="2554"/>
      <c r="Q33" s="2556"/>
      <c r="R33" s="2507" t="s">
        <v>1801</v>
      </c>
      <c r="S33" s="2508"/>
      <c r="T33" s="2508"/>
      <c r="U33" s="2508"/>
      <c r="V33" s="2508"/>
      <c r="W33" s="2508"/>
      <c r="X33" s="2508"/>
      <c r="Y33" s="2508"/>
      <c r="Z33" s="2508"/>
      <c r="AA33" s="2508"/>
      <c r="AB33" s="2508"/>
      <c r="AC33" s="2508"/>
      <c r="AD33" s="2508"/>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508"/>
      <c r="BB33" s="2508"/>
      <c r="BC33" s="2508"/>
      <c r="BD33" s="2509"/>
      <c r="BE33" s="1202"/>
    </row>
    <row r="34" spans="1:58" ht="15.75" customHeight="1" thickBot="1">
      <c r="A34" s="1206"/>
      <c r="B34" s="2521"/>
      <c r="C34" s="2522"/>
      <c r="D34" s="2522"/>
      <c r="E34" s="2522"/>
      <c r="F34" s="2522"/>
      <c r="G34" s="2522"/>
      <c r="H34" s="2522"/>
      <c r="I34" s="2522"/>
      <c r="J34" s="2554"/>
      <c r="K34" s="2554"/>
      <c r="L34" s="2554"/>
      <c r="M34" s="2554"/>
      <c r="N34" s="2554"/>
      <c r="O34" s="2554"/>
      <c r="P34" s="2554"/>
      <c r="Q34" s="2556"/>
      <c r="R34" s="2510"/>
      <c r="S34" s="2511"/>
      <c r="T34" s="2511"/>
      <c r="U34" s="2511"/>
      <c r="V34" s="2511"/>
      <c r="W34" s="2511"/>
      <c r="X34" s="2511"/>
      <c r="Y34" s="2511"/>
      <c r="Z34" s="2511"/>
      <c r="AA34" s="2511"/>
      <c r="AB34" s="2511"/>
      <c r="AC34" s="2511"/>
      <c r="AD34" s="2511"/>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1"/>
      <c r="BA34" s="2511"/>
      <c r="BB34" s="2511"/>
      <c r="BC34" s="2511"/>
      <c r="BD34" s="2512"/>
      <c r="BE34" s="1202"/>
    </row>
    <row r="35" spans="1:58" ht="15.75" customHeight="1">
      <c r="A35" s="1206"/>
      <c r="B35" s="2521"/>
      <c r="C35" s="2522"/>
      <c r="D35" s="2522"/>
      <c r="E35" s="2522"/>
      <c r="F35" s="2522"/>
      <c r="G35" s="2522"/>
      <c r="H35" s="2522"/>
      <c r="I35" s="2522"/>
      <c r="J35" s="2554"/>
      <c r="K35" s="2554"/>
      <c r="L35" s="2554"/>
      <c r="M35" s="2554"/>
      <c r="N35" s="2554"/>
      <c r="O35" s="2554"/>
      <c r="P35" s="2554"/>
      <c r="Q35" s="2554"/>
      <c r="R35" s="2503">
        <v>0.3</v>
      </c>
      <c r="S35" s="2503"/>
      <c r="T35" s="2503"/>
      <c r="U35" s="2503"/>
      <c r="V35" s="2503">
        <v>0.5</v>
      </c>
      <c r="W35" s="2503"/>
      <c r="X35" s="2503"/>
      <c r="Y35" s="2503"/>
      <c r="Z35" s="2503">
        <v>0.6</v>
      </c>
      <c r="AA35" s="2503"/>
      <c r="AB35" s="2503"/>
      <c r="AC35" s="2503"/>
      <c r="AD35" s="2503">
        <v>0.7</v>
      </c>
      <c r="AE35" s="2503"/>
      <c r="AF35" s="2503"/>
      <c r="AG35" s="2503"/>
      <c r="AH35" s="2503" t="s">
        <v>2632</v>
      </c>
      <c r="AI35" s="2503"/>
      <c r="AJ35" s="2503"/>
      <c r="AK35" s="2503"/>
      <c r="AL35" s="2524" t="s">
        <v>2633</v>
      </c>
      <c r="AM35" s="2525"/>
      <c r="AN35" s="2525"/>
      <c r="AO35" s="2526"/>
      <c r="AP35" s="2527" t="s">
        <v>2634</v>
      </c>
      <c r="AQ35" s="2528"/>
      <c r="AR35" s="2529"/>
      <c r="AS35" s="2530" t="s">
        <v>1802</v>
      </c>
      <c r="AT35" s="2531"/>
      <c r="AU35" s="2531"/>
      <c r="AV35" s="2531"/>
      <c r="AW35" s="2531"/>
      <c r="AX35" s="2532"/>
      <c r="AY35" s="2530" t="s">
        <v>1803</v>
      </c>
      <c r="AZ35" s="2531"/>
      <c r="BA35" s="2531"/>
      <c r="BB35" s="2531"/>
      <c r="BC35" s="2531"/>
      <c r="BD35" s="2533"/>
      <c r="BE35" s="1202"/>
    </row>
    <row r="36" spans="1:58" ht="15.75" customHeight="1">
      <c r="A36" s="1206"/>
      <c r="B36" s="2244" t="s">
        <v>1804</v>
      </c>
      <c r="C36" s="2245"/>
      <c r="D36" s="2245"/>
      <c r="E36" s="2245"/>
      <c r="F36" s="2245"/>
      <c r="G36" s="2245"/>
      <c r="H36" s="2245"/>
      <c r="I36" s="2245"/>
      <c r="J36" s="2493">
        <v>2</v>
      </c>
      <c r="K36" s="2493"/>
      <c r="L36" s="2493"/>
      <c r="M36" s="2493"/>
      <c r="N36" s="2493">
        <v>55</v>
      </c>
      <c r="O36" s="2493"/>
      <c r="P36" s="2493"/>
      <c r="Q36" s="2493"/>
      <c r="R36" s="2222">
        <v>0</v>
      </c>
      <c r="S36" s="2222"/>
      <c r="T36" s="2222"/>
      <c r="U36" s="2222"/>
      <c r="V36" s="2222">
        <v>17</v>
      </c>
      <c r="W36" s="2222"/>
      <c r="X36" s="2222"/>
      <c r="Y36" s="2222"/>
      <c r="Z36" s="2222">
        <v>47</v>
      </c>
      <c r="AA36" s="2222"/>
      <c r="AB36" s="2222"/>
      <c r="AC36" s="2222"/>
      <c r="AD36" s="2222">
        <v>0</v>
      </c>
      <c r="AE36" s="2222"/>
      <c r="AF36" s="2222"/>
      <c r="AG36" s="2222"/>
      <c r="AH36" s="2222">
        <v>0</v>
      </c>
      <c r="AI36" s="2222"/>
      <c r="AJ36" s="2222"/>
      <c r="AK36" s="2222"/>
      <c r="AL36" s="2223">
        <v>0</v>
      </c>
      <c r="AM36" s="2224"/>
      <c r="AN36" s="2224"/>
      <c r="AO36" s="2225"/>
      <c r="AP36" s="2223">
        <v>0</v>
      </c>
      <c r="AQ36" s="2224"/>
      <c r="AR36" s="2225"/>
      <c r="AS36" s="2226">
        <f t="shared" ref="AS36:AS47" si="2">SUM(R36:AR36)</f>
        <v>64</v>
      </c>
      <c r="AT36" s="2227"/>
      <c r="AU36" s="2227"/>
      <c r="AV36" s="2227"/>
      <c r="AW36" s="2227"/>
      <c r="AX36" s="2228"/>
      <c r="AY36" s="2497">
        <f t="shared" ref="AY36:AY47" si="3">AS36/$J$29</f>
        <v>0.4050632911392405</v>
      </c>
      <c r="AZ36" s="2498"/>
      <c r="BA36" s="2498"/>
      <c r="BB36" s="2498"/>
      <c r="BC36" s="2498"/>
      <c r="BD36" s="2499"/>
      <c r="BE36" s="1202"/>
    </row>
    <row r="37" spans="1:58" ht="15.75" customHeight="1">
      <c r="A37" s="1206"/>
      <c r="B37" s="2244" t="s">
        <v>2464</v>
      </c>
      <c r="C37" s="2245"/>
      <c r="D37" s="2245"/>
      <c r="E37" s="2245"/>
      <c r="F37" s="2245"/>
      <c r="G37" s="2245"/>
      <c r="H37" s="2245"/>
      <c r="I37" s="2245"/>
      <c r="J37" s="2493">
        <v>3</v>
      </c>
      <c r="K37" s="2493"/>
      <c r="L37" s="2493"/>
      <c r="M37" s="2493"/>
      <c r="N37" s="2493">
        <v>55</v>
      </c>
      <c r="O37" s="2493"/>
      <c r="P37" s="2493"/>
      <c r="Q37" s="2493"/>
      <c r="R37" s="2222">
        <v>16</v>
      </c>
      <c r="S37" s="2222"/>
      <c r="T37" s="2222"/>
      <c r="U37" s="2222"/>
      <c r="V37" s="2222">
        <v>32</v>
      </c>
      <c r="W37" s="2222"/>
      <c r="X37" s="2222"/>
      <c r="Y37" s="2222"/>
      <c r="Z37" s="2222">
        <v>0</v>
      </c>
      <c r="AA37" s="2222"/>
      <c r="AB37" s="2222"/>
      <c r="AC37" s="2222"/>
      <c r="AD37" s="2222">
        <v>16</v>
      </c>
      <c r="AE37" s="2222"/>
      <c r="AF37" s="2222"/>
      <c r="AG37" s="2222"/>
      <c r="AH37" s="2222">
        <f>158-SUM(R37:AG37)</f>
        <v>94</v>
      </c>
      <c r="AI37" s="2222"/>
      <c r="AJ37" s="2222"/>
      <c r="AK37" s="2222"/>
      <c r="AL37" s="2223">
        <v>0</v>
      </c>
      <c r="AM37" s="2224"/>
      <c r="AN37" s="2224"/>
      <c r="AO37" s="2225"/>
      <c r="AP37" s="2223">
        <v>0</v>
      </c>
      <c r="AQ37" s="2224"/>
      <c r="AR37" s="2225"/>
      <c r="AS37" s="2226">
        <f t="shared" si="2"/>
        <v>158</v>
      </c>
      <c r="AT37" s="2227"/>
      <c r="AU37" s="2227"/>
      <c r="AV37" s="2227"/>
      <c r="AW37" s="2227"/>
      <c r="AX37" s="2228"/>
      <c r="AY37" s="2497">
        <f t="shared" si="3"/>
        <v>1</v>
      </c>
      <c r="AZ37" s="2498"/>
      <c r="BA37" s="2498"/>
      <c r="BB37" s="2498"/>
      <c r="BC37" s="2498"/>
      <c r="BD37" s="2499"/>
      <c r="BE37" s="1202"/>
    </row>
    <row r="38" spans="1:58" ht="15.75" customHeight="1">
      <c r="A38" s="1206"/>
      <c r="B38" s="2244" t="s">
        <v>2403</v>
      </c>
      <c r="C38" s="2245"/>
      <c r="D38" s="2245"/>
      <c r="E38" s="2245"/>
      <c r="F38" s="2245"/>
      <c r="G38" s="2245"/>
      <c r="H38" s="2245"/>
      <c r="I38" s="2245"/>
      <c r="J38" s="2493">
        <v>4</v>
      </c>
      <c r="K38" s="2493"/>
      <c r="L38" s="2493"/>
      <c r="M38" s="2493"/>
      <c r="N38" s="2493">
        <v>55</v>
      </c>
      <c r="O38" s="2493"/>
      <c r="P38" s="2493"/>
      <c r="Q38" s="2493"/>
      <c r="R38" s="2222">
        <v>40</v>
      </c>
      <c r="S38" s="2222"/>
      <c r="T38" s="2222"/>
      <c r="U38" s="2222"/>
      <c r="V38" s="2222">
        <v>12</v>
      </c>
      <c r="W38" s="2222"/>
      <c r="X38" s="2222"/>
      <c r="Y38" s="2222"/>
      <c r="Z38" s="2222">
        <v>90</v>
      </c>
      <c r="AA38" s="2222"/>
      <c r="AB38" s="2222"/>
      <c r="AC38" s="2222"/>
      <c r="AD38" s="2222">
        <v>16</v>
      </c>
      <c r="AE38" s="2222"/>
      <c r="AF38" s="2222"/>
      <c r="AG38" s="2222"/>
      <c r="AH38" s="2222">
        <v>0</v>
      </c>
      <c r="AI38" s="2222"/>
      <c r="AJ38" s="2222"/>
      <c r="AK38" s="2222"/>
      <c r="AL38" s="2223">
        <f>N23</f>
        <v>0</v>
      </c>
      <c r="AM38" s="2224"/>
      <c r="AN38" s="2224"/>
      <c r="AO38" s="2225"/>
      <c r="AP38" s="2223">
        <v>0</v>
      </c>
      <c r="AQ38" s="2224"/>
      <c r="AR38" s="2225"/>
      <c r="AS38" s="2226">
        <f t="shared" si="2"/>
        <v>158</v>
      </c>
      <c r="AT38" s="2227"/>
      <c r="AU38" s="2227"/>
      <c r="AV38" s="2227"/>
      <c r="AW38" s="2227"/>
      <c r="AX38" s="2228"/>
      <c r="AY38" s="2497">
        <f t="shared" si="3"/>
        <v>1</v>
      </c>
      <c r="AZ38" s="2498"/>
      <c r="BA38" s="2498"/>
      <c r="BB38" s="2498"/>
      <c r="BC38" s="2498"/>
      <c r="BD38" s="2499"/>
      <c r="BE38" s="1202"/>
    </row>
    <row r="39" spans="1:58" ht="15.75" customHeight="1">
      <c r="A39" s="1206"/>
      <c r="B39" s="2244" t="s">
        <v>2630</v>
      </c>
      <c r="C39" s="2245"/>
      <c r="D39" s="2245"/>
      <c r="E39" s="2245"/>
      <c r="F39" s="2245"/>
      <c r="G39" s="2245"/>
      <c r="H39" s="2245"/>
      <c r="I39" s="2245"/>
      <c r="J39" s="2493">
        <v>1</v>
      </c>
      <c r="K39" s="2493"/>
      <c r="L39" s="2493"/>
      <c r="M39" s="2493"/>
      <c r="N39" s="2493">
        <v>55</v>
      </c>
      <c r="O39" s="2493"/>
      <c r="P39" s="2493"/>
      <c r="Q39" s="2493"/>
      <c r="R39" s="2222">
        <v>0</v>
      </c>
      <c r="S39" s="2222"/>
      <c r="T39" s="2222"/>
      <c r="U39" s="2222"/>
      <c r="V39" s="2222">
        <v>0</v>
      </c>
      <c r="W39" s="2222"/>
      <c r="X39" s="2222"/>
      <c r="Y39" s="2222"/>
      <c r="Z39" s="2222">
        <v>0</v>
      </c>
      <c r="AA39" s="2222"/>
      <c r="AB39" s="2222"/>
      <c r="AC39" s="2222"/>
      <c r="AD39" s="2222">
        <v>0</v>
      </c>
      <c r="AE39" s="2222"/>
      <c r="AF39" s="2222"/>
      <c r="AG39" s="2222"/>
      <c r="AH39" s="2222">
        <v>0</v>
      </c>
      <c r="AI39" s="2222"/>
      <c r="AJ39" s="2222"/>
      <c r="AK39" s="2222"/>
      <c r="AL39" s="2223">
        <v>0</v>
      </c>
      <c r="AM39" s="2224"/>
      <c r="AN39" s="2224"/>
      <c r="AO39" s="2225"/>
      <c r="AP39" s="2223">
        <v>32</v>
      </c>
      <c r="AQ39" s="2224"/>
      <c r="AR39" s="2225"/>
      <c r="AS39" s="2226">
        <f t="shared" si="2"/>
        <v>32</v>
      </c>
      <c r="AT39" s="2227"/>
      <c r="AU39" s="2227"/>
      <c r="AV39" s="2227"/>
      <c r="AW39" s="2227"/>
      <c r="AX39" s="2228"/>
      <c r="AY39" s="2497">
        <f t="shared" si="3"/>
        <v>0.20253164556962025</v>
      </c>
      <c r="AZ39" s="2498"/>
      <c r="BA39" s="2498"/>
      <c r="BB39" s="2498"/>
      <c r="BC39" s="2498"/>
      <c r="BD39" s="2499"/>
      <c r="BE39" s="1202"/>
    </row>
    <row r="40" spans="1:58" ht="15.75" customHeight="1">
      <c r="A40" s="1206"/>
      <c r="B40" s="2244" t="s">
        <v>2631</v>
      </c>
      <c r="C40" s="2245"/>
      <c r="D40" s="2245"/>
      <c r="E40" s="2245"/>
      <c r="F40" s="2245"/>
      <c r="G40" s="2245"/>
      <c r="H40" s="2245"/>
      <c r="I40" s="2245"/>
      <c r="J40" s="2493">
        <v>1</v>
      </c>
      <c r="K40" s="2493"/>
      <c r="L40" s="2493"/>
      <c r="M40" s="2493"/>
      <c r="N40" s="2493">
        <v>55</v>
      </c>
      <c r="O40" s="2493"/>
      <c r="P40" s="2493"/>
      <c r="Q40" s="2493"/>
      <c r="R40" s="2222">
        <v>0</v>
      </c>
      <c r="S40" s="2222"/>
      <c r="T40" s="2222"/>
      <c r="U40" s="2222"/>
      <c r="V40" s="2222">
        <v>0</v>
      </c>
      <c r="W40" s="2222"/>
      <c r="X40" s="2222"/>
      <c r="Y40" s="2222"/>
      <c r="Z40" s="2222">
        <v>0</v>
      </c>
      <c r="AA40" s="2222"/>
      <c r="AB40" s="2222"/>
      <c r="AC40" s="2222"/>
      <c r="AD40" s="2222">
        <v>0</v>
      </c>
      <c r="AE40" s="2222"/>
      <c r="AF40" s="2222"/>
      <c r="AG40" s="2222"/>
      <c r="AH40" s="2222">
        <v>0</v>
      </c>
      <c r="AI40" s="2222"/>
      <c r="AJ40" s="2222"/>
      <c r="AK40" s="2222"/>
      <c r="AL40" s="2223">
        <v>126</v>
      </c>
      <c r="AM40" s="2224"/>
      <c r="AN40" s="2224"/>
      <c r="AO40" s="2225"/>
      <c r="AP40" s="2223">
        <v>0</v>
      </c>
      <c r="AQ40" s="2224"/>
      <c r="AR40" s="2225"/>
      <c r="AS40" s="2226">
        <f t="shared" si="2"/>
        <v>126</v>
      </c>
      <c r="AT40" s="2227"/>
      <c r="AU40" s="2227"/>
      <c r="AV40" s="2227"/>
      <c r="AW40" s="2227"/>
      <c r="AX40" s="2228"/>
      <c r="AY40" s="2497">
        <f t="shared" si="3"/>
        <v>0.79746835443037978</v>
      </c>
      <c r="AZ40" s="2498"/>
      <c r="BA40" s="2498"/>
      <c r="BB40" s="2498"/>
      <c r="BC40" s="2498"/>
      <c r="BD40" s="2499"/>
      <c r="BE40" s="1202"/>
    </row>
    <row r="41" spans="1:58" ht="15.75" customHeight="1">
      <c r="A41" s="1206"/>
      <c r="B41" s="2244" t="s">
        <v>1805</v>
      </c>
      <c r="C41" s="2245"/>
      <c r="D41" s="2245"/>
      <c r="E41" s="2245"/>
      <c r="F41" s="2245"/>
      <c r="G41" s="2245"/>
      <c r="H41" s="2245"/>
      <c r="I41" s="2245"/>
      <c r="J41" s="2493"/>
      <c r="K41" s="2493"/>
      <c r="L41" s="2493"/>
      <c r="M41" s="2493"/>
      <c r="N41" s="2493"/>
      <c r="O41" s="2493"/>
      <c r="P41" s="2493"/>
      <c r="Q41" s="2493"/>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97">
        <f t="shared" si="3"/>
        <v>0</v>
      </c>
      <c r="AZ41" s="2498"/>
      <c r="BA41" s="2498"/>
      <c r="BB41" s="2498"/>
      <c r="BC41" s="2498"/>
      <c r="BD41" s="2499"/>
      <c r="BE41" s="1202"/>
    </row>
    <row r="42" spans="1:58" ht="15.75" customHeight="1">
      <c r="A42" s="1206"/>
      <c r="B42" s="2244" t="s">
        <v>1805</v>
      </c>
      <c r="C42" s="2245"/>
      <c r="D42" s="2245"/>
      <c r="E42" s="2245"/>
      <c r="F42" s="2245"/>
      <c r="G42" s="2245"/>
      <c r="H42" s="2245"/>
      <c r="I42" s="2245"/>
      <c r="J42" s="2493"/>
      <c r="K42" s="2493"/>
      <c r="L42" s="2493"/>
      <c r="M42" s="2493"/>
      <c r="N42" s="2493"/>
      <c r="O42" s="2493"/>
      <c r="P42" s="2493"/>
      <c r="Q42" s="2493"/>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97">
        <f t="shared" si="3"/>
        <v>0</v>
      </c>
      <c r="AZ42" s="2498"/>
      <c r="BA42" s="2498"/>
      <c r="BB42" s="2498"/>
      <c r="BC42" s="2498"/>
      <c r="BD42" s="2499"/>
      <c r="BE42" s="1202"/>
    </row>
    <row r="43" spans="1:58" ht="15.75" customHeight="1">
      <c r="A43" s="1206"/>
      <c r="B43" s="2215" t="s">
        <v>1806</v>
      </c>
      <c r="C43" s="2216"/>
      <c r="D43" s="2216"/>
      <c r="E43" s="2216"/>
      <c r="F43" s="2216"/>
      <c r="G43" s="2216"/>
      <c r="H43" s="2216"/>
      <c r="I43" s="2216"/>
      <c r="J43" s="2493"/>
      <c r="K43" s="2493"/>
      <c r="L43" s="2493"/>
      <c r="M43" s="2493"/>
      <c r="N43" s="2493"/>
      <c r="O43" s="2493"/>
      <c r="P43" s="2493"/>
      <c r="Q43" s="2493"/>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97">
        <f t="shared" si="3"/>
        <v>0</v>
      </c>
      <c r="AZ43" s="2498"/>
      <c r="BA43" s="2498"/>
      <c r="BB43" s="2498"/>
      <c r="BC43" s="2498"/>
      <c r="BD43" s="2499"/>
      <c r="BE43" s="1202"/>
    </row>
    <row r="44" spans="1:58" ht="15.75" customHeight="1">
      <c r="A44" s="1206"/>
      <c r="B44" s="2215" t="s">
        <v>1807</v>
      </c>
      <c r="C44" s="2216"/>
      <c r="D44" s="2216"/>
      <c r="E44" s="2216"/>
      <c r="F44" s="2216"/>
      <c r="G44" s="2216"/>
      <c r="H44" s="2216"/>
      <c r="I44" s="2216"/>
      <c r="J44" s="2493"/>
      <c r="K44" s="2493"/>
      <c r="L44" s="2493"/>
      <c r="M44" s="2493"/>
      <c r="N44" s="2493"/>
      <c r="O44" s="2493"/>
      <c r="P44" s="2493"/>
      <c r="Q44" s="2493"/>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97">
        <f t="shared" si="3"/>
        <v>0</v>
      </c>
      <c r="AZ44" s="2498"/>
      <c r="BA44" s="2498"/>
      <c r="BB44" s="2498"/>
      <c r="BC44" s="2498"/>
      <c r="BD44" s="2499"/>
      <c r="BE44" s="1202"/>
    </row>
    <row r="45" spans="1:58" ht="15.75" customHeight="1">
      <c r="A45" s="1206"/>
      <c r="B45" s="2215" t="s">
        <v>1808</v>
      </c>
      <c r="C45" s="2216"/>
      <c r="D45" s="2216"/>
      <c r="E45" s="2216"/>
      <c r="F45" s="2216"/>
      <c r="G45" s="2216"/>
      <c r="H45" s="2216"/>
      <c r="I45" s="2216"/>
      <c r="J45" s="2493"/>
      <c r="K45" s="2493"/>
      <c r="L45" s="2493"/>
      <c r="M45" s="2493"/>
      <c r="N45" s="2493"/>
      <c r="O45" s="2493"/>
      <c r="P45" s="2493"/>
      <c r="Q45" s="2493"/>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97">
        <f t="shared" si="3"/>
        <v>0</v>
      </c>
      <c r="AZ45" s="2498"/>
      <c r="BA45" s="2498"/>
      <c r="BB45" s="2498"/>
      <c r="BC45" s="2498"/>
      <c r="BD45" s="2499"/>
      <c r="BE45" s="1202"/>
    </row>
    <row r="46" spans="1:58" ht="15.75" customHeight="1">
      <c r="A46" s="1206"/>
      <c r="B46" s="2215" t="s">
        <v>1809</v>
      </c>
      <c r="C46" s="2216"/>
      <c r="D46" s="2216"/>
      <c r="E46" s="2216"/>
      <c r="F46" s="2216"/>
      <c r="G46" s="2216"/>
      <c r="H46" s="2216"/>
      <c r="I46" s="2216"/>
      <c r="J46" s="2493"/>
      <c r="K46" s="2493"/>
      <c r="L46" s="2493"/>
      <c r="M46" s="2493"/>
      <c r="N46" s="2493"/>
      <c r="O46" s="2493"/>
      <c r="P46" s="2493"/>
      <c r="Q46" s="2493"/>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97">
        <f t="shared" si="3"/>
        <v>0</v>
      </c>
      <c r="AZ46" s="2498"/>
      <c r="BA46" s="2498"/>
      <c r="BB46" s="2498"/>
      <c r="BC46" s="2498"/>
      <c r="BD46" s="2499"/>
      <c r="BE46" s="1202"/>
    </row>
    <row r="47" spans="1:58" ht="15.75" customHeight="1" thickBot="1">
      <c r="A47" s="1206"/>
      <c r="B47" s="2490" t="s">
        <v>300</v>
      </c>
      <c r="C47" s="2491"/>
      <c r="D47" s="2491"/>
      <c r="E47" s="2491"/>
      <c r="F47" s="2491"/>
      <c r="G47" s="2491"/>
      <c r="H47" s="2491"/>
      <c r="I47" s="2491"/>
      <c r="J47" s="2492"/>
      <c r="K47" s="2492"/>
      <c r="L47" s="2492"/>
      <c r="M47" s="2492"/>
      <c r="N47" s="2492"/>
      <c r="O47" s="2492"/>
      <c r="P47" s="2492"/>
      <c r="Q47" s="2492"/>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7"/>
      <c r="AM47" s="2488"/>
      <c r="AN47" s="2488"/>
      <c r="AO47" s="2489"/>
      <c r="AP47" s="2487"/>
      <c r="AQ47" s="2488"/>
      <c r="AR47" s="2489"/>
      <c r="AS47" s="2226">
        <f t="shared" si="2"/>
        <v>0</v>
      </c>
      <c r="AT47" s="2227"/>
      <c r="AU47" s="2227"/>
      <c r="AV47" s="2227"/>
      <c r="AW47" s="2227"/>
      <c r="AX47" s="2228"/>
      <c r="AY47" s="2494">
        <f t="shared" si="3"/>
        <v>0</v>
      </c>
      <c r="AZ47" s="2495"/>
      <c r="BA47" s="2495"/>
      <c r="BB47" s="2495"/>
      <c r="BC47" s="2495"/>
      <c r="BD47" s="2496"/>
      <c r="BE47" s="1202"/>
    </row>
    <row r="48" spans="1:58" ht="15.75" customHeight="1">
      <c r="A48" s="1206"/>
      <c r="B48" s="1254" t="s">
        <v>2465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2178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1810</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1811</v>
      </c>
      <c r="C51" s="2175"/>
      <c r="D51" s="2175"/>
      <c r="E51" s="2175"/>
      <c r="F51" s="2175"/>
      <c r="G51" s="2175"/>
      <c r="H51" s="2175"/>
      <c r="I51" s="2175"/>
      <c r="J51" s="2175" t="s">
        <v>2466</v>
      </c>
      <c r="K51" s="2175"/>
      <c r="L51" s="2175"/>
      <c r="M51" s="2175"/>
      <c r="N51" s="2175"/>
      <c r="O51" s="2175"/>
      <c r="P51" s="2175"/>
      <c r="Q51" s="2175"/>
      <c r="R51" s="2484" t="s">
        <v>2467</v>
      </c>
      <c r="S51" s="2484"/>
      <c r="T51" s="2484"/>
      <c r="U51" s="2484"/>
      <c r="V51" s="2484"/>
      <c r="W51" s="2484"/>
      <c r="X51" s="2484"/>
      <c r="Y51" s="2484"/>
      <c r="Z51" s="2484" t="s">
        <v>1812</v>
      </c>
      <c r="AA51" s="2484"/>
      <c r="AB51" s="2484"/>
      <c r="AC51" s="2484"/>
      <c r="AD51" s="2484"/>
      <c r="AE51" s="2484"/>
      <c r="AF51" s="2484"/>
      <c r="AG51" s="2484"/>
      <c r="AH51" s="2484" t="s">
        <v>1813</v>
      </c>
      <c r="AI51" s="2484"/>
      <c r="AJ51" s="2484"/>
      <c r="AK51" s="2484"/>
      <c r="AL51" s="2484"/>
      <c r="AM51" s="2484"/>
      <c r="AN51" s="2484"/>
      <c r="AO51" s="248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472" t="s">
        <v>2735</v>
      </c>
      <c r="C52" s="2473"/>
      <c r="D52" s="2473"/>
      <c r="E52" s="2473"/>
      <c r="F52" s="2473"/>
      <c r="G52" s="2473"/>
      <c r="H52" s="2473"/>
      <c r="I52" s="2474"/>
      <c r="J52" s="2475">
        <v>15</v>
      </c>
      <c r="K52" s="2476"/>
      <c r="L52" s="2476"/>
      <c r="M52" s="2476"/>
      <c r="N52" s="2476"/>
      <c r="O52" s="2476"/>
      <c r="P52" s="2476"/>
      <c r="Q52" s="2477"/>
      <c r="R52" s="2478">
        <v>15000</v>
      </c>
      <c r="S52" s="2479"/>
      <c r="T52" s="2479"/>
      <c r="U52" s="2479"/>
      <c r="V52" s="2479"/>
      <c r="W52" s="2479"/>
      <c r="X52" s="2479"/>
      <c r="Y52" s="2480"/>
      <c r="Z52" s="2481">
        <v>5</v>
      </c>
      <c r="AA52" s="2482"/>
      <c r="AB52" s="2482"/>
      <c r="AC52" s="2482"/>
      <c r="AD52" s="2482"/>
      <c r="AE52" s="2482"/>
      <c r="AF52" s="2482"/>
      <c r="AG52" s="2483"/>
      <c r="AH52" s="2461"/>
      <c r="AI52" s="2461"/>
      <c r="AJ52" s="2461"/>
      <c r="AK52" s="2461"/>
      <c r="AL52" s="2461"/>
      <c r="AM52" s="2461"/>
      <c r="AN52" s="2461"/>
      <c r="AO52" s="246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c r="C53" s="2216"/>
      <c r="D53" s="2216"/>
      <c r="E53" s="2216"/>
      <c r="F53" s="2216"/>
      <c r="G53" s="2216"/>
      <c r="H53" s="2216"/>
      <c r="I53" s="2216"/>
      <c r="J53" s="2349"/>
      <c r="K53" s="2349"/>
      <c r="L53" s="2349"/>
      <c r="M53" s="2349"/>
      <c r="N53" s="2349"/>
      <c r="O53" s="2349"/>
      <c r="P53" s="2349"/>
      <c r="Q53" s="2349"/>
      <c r="R53" s="2459"/>
      <c r="S53" s="2459"/>
      <c r="T53" s="2459"/>
      <c r="U53" s="2459"/>
      <c r="V53" s="2459"/>
      <c r="W53" s="2459"/>
      <c r="X53" s="2459"/>
      <c r="Y53" s="2459"/>
      <c r="Z53" s="2460">
        <v>0</v>
      </c>
      <c r="AA53" s="2460"/>
      <c r="AB53" s="2460"/>
      <c r="AC53" s="2460"/>
      <c r="AD53" s="2460"/>
      <c r="AE53" s="2460"/>
      <c r="AF53" s="2460"/>
      <c r="AG53" s="2460"/>
      <c r="AH53" s="2461"/>
      <c r="AI53" s="2461"/>
      <c r="AJ53" s="2461"/>
      <c r="AK53" s="2461"/>
      <c r="AL53" s="2461"/>
      <c r="AM53" s="2461"/>
      <c r="AN53" s="2461"/>
      <c r="AO53" s="246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9"/>
      <c r="S54" s="2459"/>
      <c r="T54" s="2459"/>
      <c r="U54" s="2459"/>
      <c r="V54" s="2459"/>
      <c r="W54" s="2459"/>
      <c r="X54" s="2459"/>
      <c r="Y54" s="2459"/>
      <c r="Z54" s="2460"/>
      <c r="AA54" s="2460"/>
      <c r="AB54" s="2460"/>
      <c r="AC54" s="2460"/>
      <c r="AD54" s="2460"/>
      <c r="AE54" s="2460"/>
      <c r="AF54" s="2460"/>
      <c r="AG54" s="2460"/>
      <c r="AH54" s="2461"/>
      <c r="AI54" s="2461"/>
      <c r="AJ54" s="2461"/>
      <c r="AK54" s="2461"/>
      <c r="AL54" s="2461"/>
      <c r="AM54" s="2461"/>
      <c r="AN54" s="2461"/>
      <c r="AO54" s="246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9"/>
      <c r="S55" s="2459"/>
      <c r="T55" s="2459"/>
      <c r="U55" s="2459"/>
      <c r="V55" s="2459"/>
      <c r="W55" s="2459"/>
      <c r="X55" s="2459"/>
      <c r="Y55" s="2459"/>
      <c r="Z55" s="2460"/>
      <c r="AA55" s="2460"/>
      <c r="AB55" s="2460"/>
      <c r="AC55" s="2460"/>
      <c r="AD55" s="2460"/>
      <c r="AE55" s="2460"/>
      <c r="AF55" s="2460"/>
      <c r="AG55" s="2460"/>
      <c r="AH55" s="2461"/>
      <c r="AI55" s="2461"/>
      <c r="AJ55" s="2461"/>
      <c r="AK55" s="2461"/>
      <c r="AL55" s="2461"/>
      <c r="AM55" s="2461"/>
      <c r="AN55" s="2461"/>
      <c r="AO55" s="2462"/>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9"/>
      <c r="S56" s="2459"/>
      <c r="T56" s="2459"/>
      <c r="U56" s="2459"/>
      <c r="V56" s="2459"/>
      <c r="W56" s="2459"/>
      <c r="X56" s="2459"/>
      <c r="Y56" s="2459"/>
      <c r="Z56" s="2460"/>
      <c r="AA56" s="2460"/>
      <c r="AB56" s="2460"/>
      <c r="AC56" s="2460"/>
      <c r="AD56" s="2460"/>
      <c r="AE56" s="2460"/>
      <c r="AF56" s="2460"/>
      <c r="AG56" s="2460"/>
      <c r="AH56" s="2461"/>
      <c r="AI56" s="2461"/>
      <c r="AJ56" s="2461"/>
      <c r="AK56" s="2461"/>
      <c r="AL56" s="2461"/>
      <c r="AM56" s="2461"/>
      <c r="AN56" s="2461"/>
      <c r="AO56" s="246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1696</v>
      </c>
      <c r="C57" s="2169"/>
      <c r="D57" s="2169"/>
      <c r="E57" s="2169"/>
      <c r="F57" s="2169"/>
      <c r="G57" s="2169"/>
      <c r="H57" s="2169"/>
      <c r="I57" s="2169"/>
      <c r="J57" s="2169"/>
      <c r="K57" s="2169"/>
      <c r="L57" s="2169"/>
      <c r="M57" s="2169"/>
      <c r="N57" s="2169"/>
      <c r="O57" s="2169"/>
      <c r="P57" s="2169"/>
      <c r="Q57" s="2169"/>
      <c r="R57" s="2463">
        <f>SUM(R52:Y56)</f>
        <v>15000</v>
      </c>
      <c r="S57" s="2463"/>
      <c r="T57" s="2463"/>
      <c r="U57" s="2463"/>
      <c r="V57" s="2463"/>
      <c r="W57" s="2463"/>
      <c r="X57" s="2463"/>
      <c r="Y57" s="2463"/>
      <c r="Z57" s="2464">
        <f>SUM(Z52:AG56)</f>
        <v>5</v>
      </c>
      <c r="AA57" s="2464"/>
      <c r="AB57" s="2464"/>
      <c r="AC57" s="2464"/>
      <c r="AD57" s="2464"/>
      <c r="AE57" s="2464"/>
      <c r="AF57" s="2464"/>
      <c r="AG57" s="2464"/>
      <c r="AH57" s="2465"/>
      <c r="AI57" s="2465"/>
      <c r="AJ57" s="2465"/>
      <c r="AK57" s="2465"/>
      <c r="AL57" s="2465"/>
      <c r="AM57" s="2465"/>
      <c r="AN57" s="2465"/>
      <c r="AO57" s="246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7" t="s">
        <v>1811</v>
      </c>
      <c r="C59" s="2468"/>
      <c r="D59" s="2468"/>
      <c r="E59" s="2468"/>
      <c r="F59" s="2468"/>
      <c r="G59" s="2468"/>
      <c r="H59" s="2468"/>
      <c r="I59" s="2469"/>
      <c r="J59" s="2432" t="s">
        <v>2468</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6"/>
      <c r="AY59" s="1206"/>
      <c r="AZ59" s="1206"/>
      <c r="BA59" s="1206"/>
      <c r="BB59" s="1206"/>
      <c r="BC59" s="1206"/>
      <c r="BD59" s="1206"/>
      <c r="BE59" s="1202"/>
    </row>
    <row r="60" spans="1:58" ht="15.75" customHeight="1">
      <c r="A60" s="1206"/>
      <c r="B60" s="2452" t="str">
        <f>IF(B52="", "", B52)</f>
        <v>LifeSTEPS</v>
      </c>
      <c r="C60" s="2453"/>
      <c r="D60" s="2453"/>
      <c r="E60" s="2453"/>
      <c r="F60" s="2453"/>
      <c r="G60" s="2453"/>
      <c r="H60" s="2453"/>
      <c r="I60" s="2454"/>
      <c r="J60" s="2470" t="s">
        <v>2736</v>
      </c>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52" t="str">
        <f>IF(B53="", "", B53)</f>
        <v/>
      </c>
      <c r="C61" s="2453"/>
      <c r="D61" s="2453"/>
      <c r="E61" s="2453"/>
      <c r="F61" s="2453"/>
      <c r="G61" s="2453"/>
      <c r="H61" s="2453"/>
      <c r="I61" s="2454"/>
      <c r="J61" s="2455"/>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52" t="str">
        <f>IF(B54="", "", B54)</f>
        <v/>
      </c>
      <c r="C62" s="2453"/>
      <c r="D62" s="2453"/>
      <c r="E62" s="2453"/>
      <c r="F62" s="2453"/>
      <c r="G62" s="2453"/>
      <c r="H62" s="2453"/>
      <c r="I62" s="2454"/>
      <c r="J62" s="2455"/>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52" t="str">
        <f>IF(B55="", "", B55)</f>
        <v/>
      </c>
      <c r="C63" s="2453"/>
      <c r="D63" s="2453"/>
      <c r="E63" s="2453"/>
      <c r="F63" s="2453"/>
      <c r="G63" s="2453"/>
      <c r="H63" s="2453"/>
      <c r="I63" s="2454"/>
      <c r="J63" s="2455"/>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6" t="str">
        <f>IF(B56="", "", B56)</f>
        <v/>
      </c>
      <c r="C64" s="2457"/>
      <c r="D64" s="2457"/>
      <c r="E64" s="2457"/>
      <c r="F64" s="2457"/>
      <c r="G64" s="2457"/>
      <c r="H64" s="2457"/>
      <c r="I64" s="2458"/>
      <c r="J64" s="2471"/>
      <c r="K64" s="2450"/>
      <c r="L64" s="2450"/>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c r="AS64" s="2450"/>
      <c r="AT64" s="2450"/>
      <c r="AU64" s="2450"/>
      <c r="AV64" s="2450"/>
      <c r="AW64" s="245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1814</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1" t="s">
        <v>1815</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6"/>
      <c r="AC68" s="2179" t="s">
        <v>1816</v>
      </c>
      <c r="AD68" s="2180"/>
      <c r="AE68" s="2180"/>
      <c r="AF68" s="2180"/>
      <c r="AG68" s="2180"/>
      <c r="AH68" s="2180"/>
      <c r="AI68" s="2180"/>
      <c r="AJ68" s="2180"/>
      <c r="AK68" s="2180"/>
      <c r="AL68" s="2180"/>
      <c r="AM68" s="2180"/>
      <c r="AN68" s="2180"/>
      <c r="AO68" s="2180"/>
      <c r="AP68" s="2180"/>
      <c r="AQ68" s="2180"/>
      <c r="AR68" s="2180"/>
      <c r="AS68" s="2180"/>
      <c r="AT68" s="2180"/>
      <c r="AU68" s="2180"/>
      <c r="AV68" s="2231" t="s">
        <v>677</v>
      </c>
      <c r="AW68" s="2232"/>
      <c r="AX68" s="2232"/>
      <c r="AY68" s="2232"/>
      <c r="AZ68" s="2232"/>
      <c r="BA68" s="2232"/>
      <c r="BB68" s="2232"/>
      <c r="BC68" s="2233"/>
      <c r="BD68" s="1206"/>
      <c r="BE68" s="1202"/>
      <c r="BM68" s="1251" t="s">
        <v>2469</v>
      </c>
    </row>
    <row r="69" spans="1:65" ht="15.75" customHeight="1" thickTop="1" thickBot="1">
      <c r="A69" s="1206"/>
      <c r="B69" s="2234" t="s">
        <v>1817</v>
      </c>
      <c r="C69" s="2235"/>
      <c r="D69" s="2235"/>
      <c r="E69" s="2235"/>
      <c r="F69" s="2235"/>
      <c r="G69" s="2235"/>
      <c r="H69" s="2235"/>
      <c r="I69" s="2235"/>
      <c r="J69" s="2235"/>
      <c r="K69" s="2235"/>
      <c r="L69" s="2235"/>
      <c r="M69" s="2235"/>
      <c r="N69" s="2235"/>
      <c r="O69" s="2236" t="s">
        <v>1818</v>
      </c>
      <c r="P69" s="2237"/>
      <c r="Q69" s="2237"/>
      <c r="R69" s="2237"/>
      <c r="S69" s="2237"/>
      <c r="T69" s="2237"/>
      <c r="U69" s="2237"/>
      <c r="V69" s="2237"/>
      <c r="W69" s="2237"/>
      <c r="X69" s="2237"/>
      <c r="Y69" s="2237"/>
      <c r="Z69" s="2237"/>
      <c r="AA69" s="2238"/>
      <c r="AB69" s="1206"/>
      <c r="AC69" s="2239" t="s">
        <v>1819</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553</v>
      </c>
    </row>
    <row r="70" spans="1:65" ht="15.75" customHeight="1">
      <c r="A70" s="1206"/>
      <c r="B70" s="2244" t="s">
        <v>2470</v>
      </c>
      <c r="C70" s="2245"/>
      <c r="D70" s="2245"/>
      <c r="E70" s="2245"/>
      <c r="F70" s="2245"/>
      <c r="G70" s="2245"/>
      <c r="H70" s="2245"/>
      <c r="I70" s="2245"/>
      <c r="J70" s="2245"/>
      <c r="K70" s="2245"/>
      <c r="L70" s="2245"/>
      <c r="M70" s="2245"/>
      <c r="N70" s="2245"/>
      <c r="O70" s="2209">
        <f>'Sources and Uses Budget'!C13-'Sources and Uses Budget'!S13</f>
        <v>259128.125</v>
      </c>
      <c r="P70" s="2209"/>
      <c r="Q70" s="2209"/>
      <c r="R70" s="2209"/>
      <c r="S70" s="2209"/>
      <c r="T70" s="2209"/>
      <c r="U70" s="2209"/>
      <c r="V70" s="2209"/>
      <c r="W70" s="2209"/>
      <c r="X70" s="2209"/>
      <c r="Y70" s="2209"/>
      <c r="Z70" s="2209"/>
      <c r="AA70" s="2210"/>
      <c r="AB70" s="1206"/>
      <c r="AC70" s="2417" t="s">
        <v>1820</v>
      </c>
      <c r="AD70" s="2213"/>
      <c r="AE70" s="2213"/>
      <c r="AF70" s="2446" t="s">
        <v>2737</v>
      </c>
      <c r="AG70" s="2446"/>
      <c r="AH70" s="2446"/>
      <c r="AI70" s="2446"/>
      <c r="AJ70" s="2446"/>
      <c r="AK70" s="2446"/>
      <c r="AL70" s="2446"/>
      <c r="AM70" s="2446"/>
      <c r="AN70" s="2446"/>
      <c r="AO70" s="2446"/>
      <c r="AP70" s="2446"/>
      <c r="AQ70" s="2446"/>
      <c r="AR70" s="2446"/>
      <c r="AS70" s="2446"/>
      <c r="AT70" s="2446"/>
      <c r="AU70" s="2447"/>
      <c r="AV70" s="1206"/>
      <c r="AW70" s="1206"/>
      <c r="AX70" s="1206"/>
      <c r="AY70" s="1206"/>
      <c r="AZ70" s="1206"/>
      <c r="BA70" s="1206"/>
      <c r="BB70" s="1206"/>
      <c r="BC70" s="1206"/>
      <c r="BD70" s="1206"/>
      <c r="BE70" s="1202"/>
      <c r="BM70" s="1249" t="s">
        <v>677</v>
      </c>
    </row>
    <row r="71" spans="1:65" ht="15.75" customHeight="1" thickBot="1">
      <c r="A71" s="1206"/>
      <c r="B71" s="2244" t="s">
        <v>2471</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8" t="s">
        <v>1821</v>
      </c>
      <c r="AD71" s="2449"/>
      <c r="AE71" s="2449"/>
      <c r="AF71" s="2450" t="s">
        <v>2738</v>
      </c>
      <c r="AG71" s="2450"/>
      <c r="AH71" s="2450"/>
      <c r="AI71" s="2450"/>
      <c r="AJ71" s="2450"/>
      <c r="AK71" s="2450"/>
      <c r="AL71" s="2450"/>
      <c r="AM71" s="2450"/>
      <c r="AN71" s="2450"/>
      <c r="AO71" s="2450"/>
      <c r="AP71" s="2450"/>
      <c r="AQ71" s="2450"/>
      <c r="AR71" s="2450"/>
      <c r="AS71" s="2450"/>
      <c r="AT71" s="2450"/>
      <c r="AU71" s="2451"/>
      <c r="AV71" s="1206"/>
      <c r="AW71" s="1206"/>
      <c r="AX71" s="1206"/>
      <c r="AY71" s="1206"/>
      <c r="AZ71" s="1206"/>
      <c r="BA71" s="1206"/>
      <c r="BB71" s="1206"/>
      <c r="BC71" s="1206"/>
      <c r="BD71" s="1206"/>
      <c r="BE71" s="1202"/>
      <c r="BM71" s="1197" t="s">
        <v>2472</v>
      </c>
    </row>
    <row r="72" spans="1:65" ht="15.75" customHeight="1">
      <c r="A72" s="1206"/>
      <c r="B72" s="2244" t="s">
        <v>2473</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2474</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2475</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599</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4" t="s">
        <v>124</v>
      </c>
      <c r="C75" s="2445"/>
      <c r="D75" s="2445"/>
      <c r="E75" s="2445"/>
      <c r="F75" s="2445"/>
      <c r="G75" s="2445"/>
      <c r="H75" s="2445"/>
      <c r="I75" s="2445"/>
      <c r="J75" s="2445"/>
      <c r="K75" s="2445"/>
      <c r="L75" s="2445"/>
      <c r="M75" s="2445"/>
      <c r="N75" s="2445"/>
      <c r="O75" s="2217">
        <f>SUM(O70:AA74)</f>
        <v>259128.125</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1856</v>
      </c>
      <c r="C79" s="1236"/>
      <c r="D79" s="1236"/>
      <c r="E79" s="1248"/>
      <c r="F79" s="2229" t="s">
        <v>2644</v>
      </c>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2602</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2609</v>
      </c>
      <c r="C81" s="1244"/>
      <c r="D81" s="1226"/>
      <c r="E81" s="1226"/>
      <c r="F81" s="1226"/>
      <c r="G81" s="1226"/>
      <c r="H81" s="1226"/>
      <c r="I81" s="1226"/>
      <c r="J81" s="1226"/>
      <c r="K81" s="1226"/>
      <c r="L81" s="1226"/>
      <c r="M81" s="1226"/>
      <c r="N81" s="1246"/>
      <c r="O81" s="2195">
        <v>0.51</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6" t="s">
        <v>2164</v>
      </c>
      <c r="C83" s="2597"/>
      <c r="D83" s="2597"/>
      <c r="E83" s="2597"/>
      <c r="F83" s="2597"/>
      <c r="G83" s="2597"/>
      <c r="H83" s="2597"/>
      <c r="I83" s="2597"/>
      <c r="J83" s="2597"/>
      <c r="K83" s="2597"/>
      <c r="L83" s="2597"/>
      <c r="M83" s="2597"/>
      <c r="N83" s="2597"/>
      <c r="O83" s="2597"/>
      <c r="P83" s="2597"/>
      <c r="Q83" s="2597"/>
      <c r="R83" s="2597"/>
      <c r="S83" s="2597"/>
      <c r="T83" s="2597"/>
      <c r="U83" s="2597"/>
      <c r="V83" s="2597"/>
      <c r="W83" s="2597"/>
      <c r="X83" s="2597"/>
      <c r="Y83" s="2597"/>
      <c r="Z83" s="2597"/>
      <c r="AA83" s="2597"/>
      <c r="AB83" s="2597"/>
      <c r="AC83" s="2597"/>
      <c r="AD83" s="2597"/>
      <c r="AE83" s="2597"/>
      <c r="AF83" s="2597"/>
      <c r="AG83" s="2597"/>
      <c r="AH83" s="2598"/>
      <c r="AI83" s="1206"/>
      <c r="AJ83" s="2182" t="s">
        <v>2608</v>
      </c>
      <c r="AK83" s="2183"/>
      <c r="AL83" s="2183"/>
      <c r="AM83" s="2183"/>
      <c r="AN83" s="2183"/>
      <c r="AO83" s="2183"/>
      <c r="AP83" s="2183"/>
      <c r="AQ83" s="2183"/>
      <c r="AR83" s="2183"/>
      <c r="AS83" s="2183"/>
      <c r="AT83" s="2183"/>
      <c r="AU83" s="2183"/>
      <c r="AV83" s="2183"/>
      <c r="AW83" s="2183"/>
      <c r="AX83" s="2183"/>
      <c r="AY83" s="2205" t="s">
        <v>553</v>
      </c>
      <c r="AZ83" s="2205"/>
      <c r="BA83" s="2205"/>
      <c r="BB83" s="2206"/>
      <c r="BC83" s="1206"/>
      <c r="BD83" s="1206"/>
      <c r="BE83" s="1202"/>
    </row>
    <row r="84" spans="1:70" ht="15.75" customHeight="1">
      <c r="A84" s="1206"/>
      <c r="B84" s="2174"/>
      <c r="C84" s="2175"/>
      <c r="D84" s="2175"/>
      <c r="E84" s="2175"/>
      <c r="F84" s="2175"/>
      <c r="G84" s="2175"/>
      <c r="H84" s="2175"/>
      <c r="I84" s="2175" t="s">
        <v>1822</v>
      </c>
      <c r="J84" s="2175"/>
      <c r="K84" s="2175"/>
      <c r="L84" s="2175"/>
      <c r="M84" s="2175"/>
      <c r="N84" s="2175"/>
      <c r="O84" s="2175" t="s">
        <v>1823</v>
      </c>
      <c r="P84" s="2175"/>
      <c r="Q84" s="2175"/>
      <c r="R84" s="2175"/>
      <c r="S84" s="2175"/>
      <c r="T84" s="2175"/>
      <c r="U84" s="2175"/>
      <c r="V84" s="2176" t="s">
        <v>2179</v>
      </c>
      <c r="W84" s="2176"/>
      <c r="X84" s="2176"/>
      <c r="Y84" s="2176"/>
      <c r="Z84" s="2176"/>
      <c r="AA84" s="2176"/>
      <c r="AB84" s="2177" t="s">
        <v>1824</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7"/>
      <c r="AZ84" s="2207"/>
      <c r="BA84" s="2207"/>
      <c r="BB84" s="2208"/>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7"/>
      <c r="AZ85" s="2207"/>
      <c r="BA85" s="2207"/>
      <c r="BB85" s="2208"/>
      <c r="BC85" s="1206"/>
      <c r="BD85" s="1206"/>
      <c r="BE85" s="1202"/>
    </row>
    <row r="86" spans="1:70" ht="15.75" customHeight="1">
      <c r="A86" s="1206"/>
      <c r="B86" s="2174" t="s">
        <v>2165</v>
      </c>
      <c r="C86" s="2175"/>
      <c r="D86" s="2175"/>
      <c r="E86" s="2175"/>
      <c r="F86" s="2175"/>
      <c r="G86" s="2175"/>
      <c r="H86" s="2175"/>
      <c r="I86" s="2172">
        <v>5</v>
      </c>
      <c r="J86" s="2172"/>
      <c r="K86" s="2172"/>
      <c r="L86" s="2172"/>
      <c r="M86" s="2172"/>
      <c r="N86" s="2172"/>
      <c r="O86" s="2172">
        <v>14</v>
      </c>
      <c r="P86" s="2172"/>
      <c r="Q86" s="2172"/>
      <c r="R86" s="2172"/>
      <c r="S86" s="2172"/>
      <c r="T86" s="2172"/>
      <c r="U86" s="2172"/>
      <c r="V86" s="2172">
        <v>21</v>
      </c>
      <c r="W86" s="2172"/>
      <c r="X86" s="2172"/>
      <c r="Y86" s="2172"/>
      <c r="Z86" s="2172"/>
      <c r="AA86" s="2172"/>
      <c r="AB86" s="2172">
        <v>19</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7"/>
      <c r="AZ86" s="2207"/>
      <c r="BA86" s="2207"/>
      <c r="BB86" s="2208"/>
      <c r="BC86" s="1206"/>
      <c r="BD86" s="1206"/>
      <c r="BE86" s="1202"/>
    </row>
    <row r="87" spans="1:70" ht="15.75" customHeight="1">
      <c r="A87" s="1206"/>
      <c r="B87" s="2174" t="s">
        <v>2166</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2476</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1825</v>
      </c>
      <c r="C88" s="2169"/>
      <c r="D88" s="2169"/>
      <c r="E88" s="2169"/>
      <c r="F88" s="2169"/>
      <c r="G88" s="2169"/>
      <c r="H88" s="2169"/>
      <c r="I88" s="2170">
        <f>423-140</f>
        <v>283</v>
      </c>
      <c r="J88" s="2170"/>
      <c r="K88" s="2170"/>
      <c r="L88" s="2170"/>
      <c r="M88" s="2170"/>
      <c r="N88" s="2170"/>
      <c r="O88" s="2170">
        <f>1771-140</f>
        <v>1631</v>
      </c>
      <c r="P88" s="2170"/>
      <c r="Q88" s="2170"/>
      <c r="R88" s="2170"/>
      <c r="S88" s="2170"/>
      <c r="T88" s="2170"/>
      <c r="U88" s="2170"/>
      <c r="V88" s="2170">
        <f>1943-140</f>
        <v>1803</v>
      </c>
      <c r="W88" s="2170"/>
      <c r="X88" s="2170"/>
      <c r="Y88" s="2170"/>
      <c r="Z88" s="2170"/>
      <c r="AA88" s="2170"/>
      <c r="AB88" s="2170">
        <f>1910+140</f>
        <v>2050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2607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1856</v>
      </c>
      <c r="C92" s="1234"/>
      <c r="D92" s="1233"/>
      <c r="E92" s="1232"/>
      <c r="F92" s="2196" t="s">
        <v>2656</v>
      </c>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2602</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2606</v>
      </c>
      <c r="C94" s="1244"/>
      <c r="D94" s="1226"/>
      <c r="E94" s="1226"/>
      <c r="F94" s="1226"/>
      <c r="G94" s="1226"/>
      <c r="H94" s="1226"/>
      <c r="I94" s="1226"/>
      <c r="J94" s="1226"/>
      <c r="K94" s="1226"/>
      <c r="L94" s="1226"/>
      <c r="M94" s="1226"/>
      <c r="N94" s="1246"/>
      <c r="O94" s="2192">
        <v>0.49</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6" t="s">
        <v>2605</v>
      </c>
      <c r="C96" s="2597"/>
      <c r="D96" s="2597"/>
      <c r="E96" s="2597"/>
      <c r="F96" s="2597"/>
      <c r="G96" s="2597"/>
      <c r="H96" s="2597"/>
      <c r="I96" s="2597"/>
      <c r="J96" s="2597"/>
      <c r="K96" s="2597"/>
      <c r="L96" s="2597"/>
      <c r="M96" s="2597"/>
      <c r="N96" s="2597"/>
      <c r="O96" s="2597"/>
      <c r="P96" s="2597"/>
      <c r="Q96" s="2597"/>
      <c r="R96" s="2597"/>
      <c r="S96" s="2597"/>
      <c r="T96" s="2597"/>
      <c r="U96" s="2597"/>
      <c r="V96" s="2597"/>
      <c r="W96" s="2597"/>
      <c r="X96" s="2597"/>
      <c r="Y96" s="2597"/>
      <c r="Z96" s="2597"/>
      <c r="AA96" s="2597"/>
      <c r="AB96" s="2597"/>
      <c r="AC96" s="2597"/>
      <c r="AD96" s="2597"/>
      <c r="AE96" s="2597"/>
      <c r="AF96" s="2597"/>
      <c r="AG96" s="2597"/>
      <c r="AH96" s="2598"/>
      <c r="AI96" s="1206"/>
      <c r="AJ96" s="2182" t="s">
        <v>2604</v>
      </c>
      <c r="AK96" s="2183"/>
      <c r="AL96" s="2183"/>
      <c r="AM96" s="2183"/>
      <c r="AN96" s="2183"/>
      <c r="AO96" s="2183"/>
      <c r="AP96" s="2183"/>
      <c r="AQ96" s="2183"/>
      <c r="AR96" s="2183"/>
      <c r="AS96" s="2183"/>
      <c r="AT96" s="2183"/>
      <c r="AU96" s="2183"/>
      <c r="AV96" s="2183"/>
      <c r="AW96" s="2183"/>
      <c r="AX96" s="2183"/>
      <c r="AY96" s="2205" t="s">
        <v>553</v>
      </c>
      <c r="AZ96" s="2205"/>
      <c r="BA96" s="2205"/>
      <c r="BB96" s="2206"/>
      <c r="BC96" s="1206"/>
      <c r="BD96" s="1206"/>
      <c r="BE96" s="1202"/>
      <c r="BQ96" s="1245" t="str">
        <f>Application!M243</f>
        <v>Holt &amp; Main LLC</v>
      </c>
      <c r="BR96" s="1245">
        <f>Application!AH245</f>
        <v>0</v>
      </c>
    </row>
    <row r="97" spans="1:70" ht="15.75" customHeight="1">
      <c r="A97" s="1206"/>
      <c r="B97" s="2174"/>
      <c r="C97" s="2175"/>
      <c r="D97" s="2175"/>
      <c r="E97" s="2175"/>
      <c r="F97" s="2175"/>
      <c r="G97" s="2175"/>
      <c r="H97" s="2175"/>
      <c r="I97" s="2175" t="s">
        <v>1822</v>
      </c>
      <c r="J97" s="2175"/>
      <c r="K97" s="2175"/>
      <c r="L97" s="2175"/>
      <c r="M97" s="2175"/>
      <c r="N97" s="2175"/>
      <c r="O97" s="2175" t="s">
        <v>1823</v>
      </c>
      <c r="P97" s="2175"/>
      <c r="Q97" s="2175"/>
      <c r="R97" s="2175"/>
      <c r="S97" s="2175"/>
      <c r="T97" s="2175"/>
      <c r="U97" s="2175"/>
      <c r="V97" s="2176" t="s">
        <v>2179</v>
      </c>
      <c r="W97" s="2176"/>
      <c r="X97" s="2176"/>
      <c r="Y97" s="2176"/>
      <c r="Z97" s="2176"/>
      <c r="AA97" s="2176"/>
      <c r="AB97" s="2177" t="s">
        <v>1824</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7"/>
      <c r="AZ97" s="2207"/>
      <c r="BA97" s="2207"/>
      <c r="BB97" s="2208"/>
      <c r="BC97" s="1206"/>
      <c r="BD97" s="1206"/>
      <c r="BE97" s="1202"/>
      <c r="BQ97" s="1245" t="str">
        <f>Application!M251</f>
        <v>WCH Affordable LXIV, LLC</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7"/>
      <c r="AZ98" s="2207"/>
      <c r="BA98" s="2207"/>
      <c r="BB98" s="2208"/>
      <c r="BC98" s="1206"/>
      <c r="BD98" s="1206"/>
      <c r="BE98" s="1202"/>
      <c r="BQ98" s="1245">
        <f>Application!M259</f>
        <v>0</v>
      </c>
      <c r="BR98" s="1245">
        <f>Application!AH261</f>
        <v>0</v>
      </c>
    </row>
    <row r="99" spans="1:70" ht="15.75" customHeight="1">
      <c r="A99" s="1206"/>
      <c r="B99" s="2174" t="s">
        <v>2165</v>
      </c>
      <c r="C99" s="2175"/>
      <c r="D99" s="2175"/>
      <c r="E99" s="2175"/>
      <c r="F99" s="2175"/>
      <c r="G99" s="2175"/>
      <c r="H99" s="2175"/>
      <c r="I99" s="2172">
        <v>5</v>
      </c>
      <c r="J99" s="2172"/>
      <c r="K99" s="2172"/>
      <c r="L99" s="2172"/>
      <c r="M99" s="2172"/>
      <c r="N99" s="2172"/>
      <c r="O99" s="2172">
        <v>8</v>
      </c>
      <c r="P99" s="2172"/>
      <c r="Q99" s="2172"/>
      <c r="R99" s="2172"/>
      <c r="S99" s="2172"/>
      <c r="T99" s="2172"/>
      <c r="U99" s="2172"/>
      <c r="V99" s="2172">
        <v>16</v>
      </c>
      <c r="W99" s="2172"/>
      <c r="X99" s="2172"/>
      <c r="Y99" s="2172"/>
      <c r="Z99" s="2172"/>
      <c r="AA99" s="2172"/>
      <c r="AB99" s="2172">
        <v>12</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7"/>
      <c r="AZ99" s="2207"/>
      <c r="BA99" s="2207"/>
      <c r="BB99" s="2208"/>
      <c r="BC99" s="1206"/>
      <c r="BD99" s="1206"/>
      <c r="BE99" s="1202"/>
    </row>
    <row r="100" spans="1:70" ht="15.75" customHeight="1">
      <c r="A100" s="1206"/>
      <c r="B100" s="2174" t="s">
        <v>2166</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2476</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1825</v>
      </c>
      <c r="C101" s="2169"/>
      <c r="D101" s="2169"/>
      <c r="E101" s="2169"/>
      <c r="F101" s="2169"/>
      <c r="G101" s="2169"/>
      <c r="H101" s="2169"/>
      <c r="I101" s="2170">
        <v>645</v>
      </c>
      <c r="J101" s="2170"/>
      <c r="K101" s="2170"/>
      <c r="L101" s="2170"/>
      <c r="M101" s="2170"/>
      <c r="N101" s="2170"/>
      <c r="O101" s="2170">
        <v>882</v>
      </c>
      <c r="P101" s="2170"/>
      <c r="Q101" s="2170"/>
      <c r="R101" s="2170"/>
      <c r="S101" s="2170"/>
      <c r="T101" s="2170"/>
      <c r="U101" s="2170"/>
      <c r="V101" s="2170">
        <v>1132</v>
      </c>
      <c r="W101" s="2170"/>
      <c r="X101" s="2170"/>
      <c r="Y101" s="2170"/>
      <c r="Z101" s="2170"/>
      <c r="AA101" s="2170"/>
      <c r="AB101" s="2170">
        <v>963</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2603</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1856</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2602</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2601</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1822</v>
      </c>
      <c r="J108" s="2175"/>
      <c r="K108" s="2175"/>
      <c r="L108" s="2175"/>
      <c r="M108" s="2175"/>
      <c r="N108" s="2175"/>
      <c r="O108" s="2175" t="s">
        <v>1823</v>
      </c>
      <c r="P108" s="2175"/>
      <c r="Q108" s="2175"/>
      <c r="R108" s="2175"/>
      <c r="S108" s="2175"/>
      <c r="T108" s="2175"/>
      <c r="U108" s="2175"/>
      <c r="V108" s="2176" t="s">
        <v>2179</v>
      </c>
      <c r="W108" s="2176"/>
      <c r="X108" s="2176"/>
      <c r="Y108" s="2176"/>
      <c r="Z108" s="2176"/>
      <c r="AA108" s="2176"/>
      <c r="AB108" s="2177" t="s">
        <v>1824</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2165</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2166</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1825</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1856</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2477</v>
      </c>
      <c r="C117" s="2183"/>
      <c r="D117" s="2183"/>
      <c r="E117" s="2183"/>
      <c r="F117" s="2183"/>
      <c r="G117" s="2183"/>
      <c r="H117" s="2183"/>
      <c r="I117" s="2183"/>
      <c r="J117" s="2183"/>
      <c r="K117" s="2183"/>
      <c r="L117" s="2183"/>
      <c r="M117" s="2183"/>
      <c r="N117" s="2183"/>
      <c r="O117" s="2183"/>
      <c r="P117" s="2183"/>
      <c r="Q117" s="2205" t="s">
        <v>553</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2180</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1826</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2167</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4"/>
      <c r="BE125" s="1202"/>
    </row>
    <row r="126" spans="1:57" ht="15.75" customHeight="1">
      <c r="A126" s="1206"/>
      <c r="B126" s="2436" t="s">
        <v>1686</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5"/>
      <c r="BE126" s="1202"/>
    </row>
    <row r="127" spans="1:57" ht="15.75" customHeight="1">
      <c r="A127" s="1206"/>
      <c r="B127" s="2396"/>
      <c r="C127" s="2397"/>
      <c r="D127" s="2397"/>
      <c r="E127" s="2397"/>
      <c r="F127" s="2397"/>
      <c r="G127" s="2397"/>
      <c r="H127" s="2397"/>
      <c r="I127" s="2175" t="s">
        <v>2168</v>
      </c>
      <c r="J127" s="2175"/>
      <c r="K127" s="2175"/>
      <c r="L127" s="2175"/>
      <c r="M127" s="2175"/>
      <c r="N127" s="2175"/>
      <c r="O127" s="2439" t="s">
        <v>2169</v>
      </c>
      <c r="P127" s="2439"/>
      <c r="Q127" s="2439"/>
      <c r="R127" s="2439"/>
      <c r="S127" s="2439"/>
      <c r="T127" s="2439"/>
      <c r="U127" s="2440"/>
      <c r="V127" s="1206"/>
      <c r="W127" s="1206"/>
      <c r="X127" s="2441" t="s">
        <v>2747</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2170</v>
      </c>
      <c r="C128" s="2414"/>
      <c r="D128" s="2414"/>
      <c r="E128" s="2414"/>
      <c r="F128" s="2414"/>
      <c r="G128" s="2414"/>
      <c r="H128" s="2414"/>
      <c r="I128" s="2172">
        <v>68</v>
      </c>
      <c r="J128" s="2172"/>
      <c r="K128" s="2172"/>
      <c r="L128" s="2172"/>
      <c r="M128" s="2172"/>
      <c r="N128" s="2172"/>
      <c r="O128" s="2172">
        <v>7</v>
      </c>
      <c r="P128" s="2172"/>
      <c r="Q128" s="2172"/>
      <c r="R128" s="2172"/>
      <c r="S128" s="2172"/>
      <c r="T128" s="2172"/>
      <c r="U128" s="2173"/>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2171</v>
      </c>
      <c r="C129" s="2416"/>
      <c r="D129" s="2416"/>
      <c r="E129" s="2416"/>
      <c r="F129" s="2416"/>
      <c r="G129" s="2416"/>
      <c r="H129" s="2416"/>
      <c r="I129" s="2170">
        <v>2</v>
      </c>
      <c r="J129" s="2170"/>
      <c r="K129" s="2170"/>
      <c r="L129" s="2170"/>
      <c r="M129" s="2170"/>
      <c r="N129" s="2170"/>
      <c r="O129" s="2442"/>
      <c r="P129" s="2442"/>
      <c r="Q129" s="2442"/>
      <c r="R129" s="2442"/>
      <c r="S129" s="2442"/>
      <c r="T129" s="2442"/>
      <c r="U129" s="2443"/>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1827</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31" t="s">
        <v>1828</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1823</v>
      </c>
      <c r="J134" s="2411"/>
      <c r="K134" s="2411"/>
      <c r="L134" s="2411"/>
      <c r="M134" s="2411"/>
      <c r="N134" s="2411"/>
      <c r="O134" s="2411"/>
      <c r="P134" s="2411" t="s">
        <v>2179</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2170</v>
      </c>
      <c r="C136" s="2414"/>
      <c r="D136" s="2414"/>
      <c r="E136" s="2414"/>
      <c r="F136" s="2414"/>
      <c r="G136" s="2414"/>
      <c r="H136" s="2414"/>
      <c r="I136" s="2418" t="s">
        <v>2748</v>
      </c>
      <c r="J136" s="2172"/>
      <c r="K136" s="2172"/>
      <c r="L136" s="2172"/>
      <c r="M136" s="2172"/>
      <c r="N136" s="2172"/>
      <c r="O136" s="2172"/>
      <c r="P136" s="2418" t="s">
        <v>2748</v>
      </c>
      <c r="Q136" s="2172"/>
      <c r="R136" s="2172"/>
      <c r="S136" s="2172"/>
      <c r="T136" s="2172"/>
      <c r="U136" s="2173"/>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2171</v>
      </c>
      <c r="C137" s="2416"/>
      <c r="D137" s="2416"/>
      <c r="E137" s="2416"/>
      <c r="F137" s="2416"/>
      <c r="G137" s="2416"/>
      <c r="H137" s="2416"/>
      <c r="I137" s="2419" t="s">
        <v>2748</v>
      </c>
      <c r="J137" s="2170"/>
      <c r="K137" s="2170"/>
      <c r="L137" s="2170"/>
      <c r="M137" s="2170"/>
      <c r="N137" s="2170"/>
      <c r="O137" s="2170"/>
      <c r="P137" s="2419" t="s">
        <v>2748</v>
      </c>
      <c r="Q137" s="2170"/>
      <c r="R137" s="2170"/>
      <c r="S137" s="2170"/>
      <c r="T137" s="2170"/>
      <c r="U137" s="2171"/>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1829</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20" t="s">
        <v>1830</v>
      </c>
      <c r="C140" s="2421"/>
      <c r="D140" s="2421"/>
      <c r="E140" s="2421"/>
      <c r="F140" s="2421"/>
      <c r="G140" s="2421"/>
      <c r="H140" s="2421"/>
      <c r="I140" s="2421"/>
      <c r="J140" s="2421"/>
      <c r="K140" s="2421"/>
      <c r="L140" s="2421"/>
      <c r="M140" s="2421"/>
      <c r="N140" s="2421"/>
      <c r="O140" s="2421"/>
      <c r="P140" s="2421"/>
      <c r="Q140" s="2421"/>
      <c r="R140" s="2422" t="s">
        <v>2749</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6"/>
      <c r="AZ140" s="1206"/>
      <c r="BA140" s="1206"/>
      <c r="BB140" s="1206"/>
      <c r="BC140" s="1206" t="s">
        <v>250</v>
      </c>
      <c r="BD140" s="1206"/>
      <c r="BE140" s="1202"/>
    </row>
    <row r="141" spans="1:57" ht="15.75" customHeight="1">
      <c r="A141" s="1206"/>
      <c r="B141" s="2424" t="s">
        <v>2750</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6"/>
      <c r="AZ141" s="1206"/>
      <c r="BA141" s="1206"/>
      <c r="BB141" s="1206"/>
      <c r="BC141" s="1206"/>
      <c r="BD141" s="1206"/>
      <c r="BE141" s="1202"/>
    </row>
    <row r="142" spans="1:57" ht="15.75" customHeight="1">
      <c r="A142" s="1206"/>
      <c r="B142" s="2427"/>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6"/>
      <c r="AZ142" s="1206"/>
      <c r="BA142" s="1206"/>
      <c r="BB142" s="1206"/>
      <c r="BC142" s="1206"/>
      <c r="BD142" s="1206"/>
      <c r="BE142" s="1202"/>
    </row>
    <row r="143" spans="1:57" ht="15.75" customHeight="1">
      <c r="A143" s="1206"/>
      <c r="B143" s="2427"/>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6"/>
      <c r="AZ143" s="1206"/>
      <c r="BA143" s="1206"/>
      <c r="BB143" s="1206"/>
      <c r="BC143" s="1206"/>
      <c r="BD143" s="1206"/>
      <c r="BE143" s="1202"/>
    </row>
    <row r="144" spans="1:57" ht="15.75" customHeight="1">
      <c r="A144" s="1206"/>
      <c r="B144" s="2427"/>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6"/>
      <c r="AZ144" s="1206"/>
      <c r="BA144" s="1206"/>
      <c r="BB144" s="1206"/>
      <c r="BC144" s="1206"/>
      <c r="BD144" s="1206"/>
      <c r="BE144" s="1202"/>
    </row>
    <row r="145" spans="1:57" ht="15.75" customHeight="1">
      <c r="A145" s="1206"/>
      <c r="B145" s="2427"/>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6"/>
      <c r="AZ145" s="1206"/>
      <c r="BA145" s="1206"/>
      <c r="BB145" s="1206"/>
      <c r="BC145" s="1206"/>
      <c r="BD145" s="1206"/>
      <c r="BE145" s="1202"/>
    </row>
    <row r="146" spans="1:57" ht="15.75" customHeight="1">
      <c r="A146" s="1206"/>
      <c r="B146" s="2427"/>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6"/>
      <c r="AZ146" s="1206"/>
      <c r="BA146" s="1206"/>
      <c r="BB146" s="1206"/>
      <c r="BC146" s="1206"/>
      <c r="BD146" s="1206"/>
      <c r="BE146" s="1202"/>
    </row>
    <row r="147" spans="1:57" ht="15.75" customHeight="1">
      <c r="A147" s="1206"/>
      <c r="B147" s="2427"/>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6"/>
      <c r="AZ147" s="1206"/>
      <c r="BA147" s="1206"/>
      <c r="BB147" s="1206"/>
      <c r="BC147" s="1206"/>
      <c r="BD147" s="1206"/>
      <c r="BE147" s="1202"/>
    </row>
    <row r="148" spans="1:57" ht="15.75" customHeight="1">
      <c r="A148" s="1206"/>
      <c r="B148" s="2427"/>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6"/>
      <c r="AZ148" s="1206"/>
      <c r="BA148" s="1206"/>
      <c r="BB148" s="1206"/>
      <c r="BC148" s="1206"/>
      <c r="BD148" s="1206"/>
      <c r="BE148" s="1202"/>
    </row>
    <row r="149" spans="1:57" ht="15.75" customHeight="1">
      <c r="A149" s="1206"/>
      <c r="B149" s="2427"/>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6"/>
      <c r="AZ149" s="1206"/>
      <c r="BA149" s="1206"/>
      <c r="BB149" s="1206"/>
      <c r="BC149" s="1206"/>
      <c r="BD149" s="1206"/>
      <c r="BE149" s="1202"/>
    </row>
    <row r="150" spans="1:57" ht="15.75" customHeight="1" thickBot="1">
      <c r="A150" s="1206"/>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1831</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1832</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2182</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1823</v>
      </c>
      <c r="J155" s="2411"/>
      <c r="K155" s="2411"/>
      <c r="L155" s="2411"/>
      <c r="M155" s="2411"/>
      <c r="N155" s="2411"/>
      <c r="O155" s="2411"/>
      <c r="P155" s="2411" t="s">
        <v>2183</v>
      </c>
      <c r="Q155" s="2411"/>
      <c r="R155" s="2411"/>
      <c r="S155" s="2411"/>
      <c r="T155" s="2411"/>
      <c r="U155" s="2412"/>
      <c r="V155" s="1206"/>
      <c r="W155" s="1206"/>
      <c r="X155" s="2396"/>
      <c r="Y155" s="2397"/>
      <c r="Z155" s="2397"/>
      <c r="AA155" s="2397"/>
      <c r="AB155" s="2397"/>
      <c r="AC155" s="2397"/>
      <c r="AD155" s="2397"/>
      <c r="AE155" s="2411" t="s">
        <v>1823</v>
      </c>
      <c r="AF155" s="2411"/>
      <c r="AG155" s="2411"/>
      <c r="AH155" s="2411"/>
      <c r="AI155" s="2411"/>
      <c r="AJ155" s="2411"/>
      <c r="AK155" s="2411"/>
      <c r="AL155" s="2411" t="s">
        <v>2179</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2170</v>
      </c>
      <c r="C157" s="2414"/>
      <c r="D157" s="2414"/>
      <c r="E157" s="2414"/>
      <c r="F157" s="2414"/>
      <c r="G157" s="2414"/>
      <c r="H157" s="2414"/>
      <c r="I157" s="2172">
        <v>21</v>
      </c>
      <c r="J157" s="2172"/>
      <c r="K157" s="2172"/>
      <c r="L157" s="2172"/>
      <c r="M157" s="2172"/>
      <c r="N157" s="2172"/>
      <c r="O157" s="2172"/>
      <c r="P157" s="2172">
        <v>30</v>
      </c>
      <c r="Q157" s="2172"/>
      <c r="R157" s="2172"/>
      <c r="S157" s="2172"/>
      <c r="T157" s="2172"/>
      <c r="U157" s="2173"/>
      <c r="V157" s="1206"/>
      <c r="W157" s="1206"/>
      <c r="X157" s="2415" t="s">
        <v>2170</v>
      </c>
      <c r="Y157" s="2416"/>
      <c r="Z157" s="2416"/>
      <c r="AA157" s="2416"/>
      <c r="AB157" s="2416"/>
      <c r="AC157" s="2416"/>
      <c r="AD157" s="2416"/>
      <c r="AE157" s="2170">
        <v>166</v>
      </c>
      <c r="AF157" s="2170"/>
      <c r="AG157" s="2170"/>
      <c r="AH157" s="2170"/>
      <c r="AI157" s="2170"/>
      <c r="AJ157" s="2170"/>
      <c r="AK157" s="2170"/>
      <c r="AL157" s="2170">
        <v>53</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2171</v>
      </c>
      <c r="C158" s="2416"/>
      <c r="D158" s="2416"/>
      <c r="E158" s="2416"/>
      <c r="F158" s="2416"/>
      <c r="G158" s="2416"/>
      <c r="H158" s="2416"/>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2172</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1833</v>
      </c>
      <c r="D161" s="2397"/>
      <c r="E161" s="2397"/>
      <c r="F161" s="2397"/>
      <c r="G161" s="2397"/>
      <c r="H161" s="2397"/>
      <c r="I161" s="2397"/>
      <c r="J161" s="2397"/>
      <c r="K161" s="2397"/>
      <c r="L161" s="2397"/>
      <c r="M161" s="2397"/>
      <c r="N161" s="2397"/>
      <c r="O161" s="2397"/>
      <c r="P161" s="2397"/>
      <c r="Q161" s="2397" t="s">
        <v>1834</v>
      </c>
      <c r="R161" s="2397"/>
      <c r="S161" s="2397"/>
      <c r="T161" s="2177" t="s">
        <v>2173</v>
      </c>
      <c r="U161" s="2177"/>
      <c r="V161" s="2177"/>
      <c r="W161" s="2177"/>
      <c r="X161" s="2177"/>
      <c r="Y161" s="2177"/>
      <c r="Z161" s="2177"/>
      <c r="AA161" s="2177"/>
      <c r="AB161" s="2397" t="s">
        <v>1835</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1836</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1837</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1838</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1809</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169</v>
      </c>
      <c r="D166" s="2406"/>
      <c r="E166" s="2406"/>
      <c r="F166" s="2407" t="s">
        <v>2751</v>
      </c>
      <c r="G166" s="2407"/>
      <c r="H166" s="2407"/>
      <c r="I166" s="2407"/>
      <c r="J166" s="2407"/>
      <c r="K166" s="2407"/>
      <c r="L166" s="2407"/>
      <c r="M166" s="2407"/>
      <c r="N166" s="2407"/>
      <c r="O166" s="2407"/>
      <c r="P166" s="2407"/>
      <c r="Q166" s="2355">
        <v>55</v>
      </c>
      <c r="R166" s="2355"/>
      <c r="S166" s="2355"/>
      <c r="T166" s="2408">
        <v>45383</v>
      </c>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169</v>
      </c>
      <c r="D167" s="2406"/>
      <c r="E167" s="2406"/>
      <c r="F167" s="2407" t="s">
        <v>1839</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169</v>
      </c>
      <c r="D168" s="2377"/>
      <c r="E168" s="2377"/>
      <c r="F168" s="2378" t="s">
        <v>1839</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1840</v>
      </c>
      <c r="D170" s="2180"/>
      <c r="E170" s="2180"/>
      <c r="F170" s="2180"/>
      <c r="G170" s="2180"/>
      <c r="H170" s="2180"/>
      <c r="I170" s="2180"/>
      <c r="J170" s="2180"/>
      <c r="K170" s="2180"/>
      <c r="L170" s="2180"/>
      <c r="M170" s="2180"/>
      <c r="N170" s="2181"/>
      <c r="O170" s="1206"/>
      <c r="P170" s="2393" t="s">
        <v>1841</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1842</v>
      </c>
      <c r="D171" s="2397"/>
      <c r="E171" s="2397"/>
      <c r="F171" s="2397"/>
      <c r="G171" s="2397"/>
      <c r="H171" s="2397"/>
      <c r="I171" s="2397" t="s">
        <v>1843</v>
      </c>
      <c r="J171" s="2397"/>
      <c r="K171" s="2397"/>
      <c r="L171" s="2397"/>
      <c r="M171" s="2397"/>
      <c r="N171" s="2398"/>
      <c r="O171" s="1206"/>
      <c r="P171" s="2399" t="s">
        <v>2753</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t="s">
        <v>2752</v>
      </c>
      <c r="D172" s="2349"/>
      <c r="E172" s="2349"/>
      <c r="F172" s="2349"/>
      <c r="G172" s="2349"/>
      <c r="H172" s="2349"/>
      <c r="I172" s="2369">
        <v>45327</v>
      </c>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2478</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99" t="s">
        <v>2594</v>
      </c>
      <c r="AI180" s="2600"/>
      <c r="AJ180" s="2600"/>
      <c r="AK180" s="2600"/>
      <c r="AL180" s="2600"/>
      <c r="AM180" s="2600"/>
      <c r="AN180" s="2600"/>
      <c r="AO180" s="2600"/>
      <c r="AP180" s="2600"/>
      <c r="AQ180" s="2600"/>
      <c r="AR180" s="2600"/>
      <c r="AS180" s="2600"/>
      <c r="AT180" s="2600"/>
      <c r="AU180" s="2600"/>
      <c r="AV180" s="2600"/>
      <c r="AW180" s="2600"/>
      <c r="AX180" s="2600"/>
      <c r="AY180" s="2600"/>
      <c r="AZ180" s="2600"/>
      <c r="BA180" s="2600"/>
      <c r="BB180" s="2600"/>
      <c r="BC180" s="2600"/>
      <c r="BD180" s="2600"/>
      <c r="BE180" s="2601"/>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602" t="s">
        <v>2615</v>
      </c>
      <c r="AI181" s="2602"/>
      <c r="AJ181" s="2602"/>
      <c r="AK181" s="2602"/>
      <c r="AL181" s="2602"/>
      <c r="AM181" s="2602"/>
      <c r="AN181" s="2602"/>
      <c r="AO181" s="2602"/>
      <c r="AP181" s="2602"/>
      <c r="AQ181" s="2602"/>
      <c r="AR181" s="2602"/>
      <c r="AS181" s="2602"/>
      <c r="AT181" s="2602"/>
      <c r="AU181" s="2602"/>
      <c r="AV181" s="2602"/>
      <c r="AW181" s="2602"/>
      <c r="AX181" s="2602"/>
      <c r="AY181" s="2602"/>
      <c r="AZ181" s="2602"/>
      <c r="BA181" s="2602"/>
      <c r="BB181" s="2602"/>
      <c r="BC181" s="2602"/>
      <c r="BD181" s="2602"/>
      <c r="BE181" s="2602"/>
    </row>
    <row r="182" spans="1:57" ht="15.75" customHeight="1">
      <c r="A182" s="1206"/>
      <c r="B182" s="1206"/>
      <c r="C182" s="2179" t="s">
        <v>1833</v>
      </c>
      <c r="D182" s="2180"/>
      <c r="E182" s="2180"/>
      <c r="F182" s="2180"/>
      <c r="G182" s="2180"/>
      <c r="H182" s="2180"/>
      <c r="I182" s="2180"/>
      <c r="J182" s="2180"/>
      <c r="K182" s="2180"/>
      <c r="L182" s="2180"/>
      <c r="M182" s="2180"/>
      <c r="N182" s="2180" t="s">
        <v>1844</v>
      </c>
      <c r="O182" s="2180"/>
      <c r="P182" s="2180"/>
      <c r="Q182" s="2180"/>
      <c r="R182" s="2180"/>
      <c r="S182" s="2180"/>
      <c r="T182" s="2180"/>
      <c r="U182" s="2213" t="s">
        <v>1833</v>
      </c>
      <c r="V182" s="2213"/>
      <c r="W182" s="2213"/>
      <c r="X182" s="2213"/>
      <c r="Y182" s="2213"/>
      <c r="Z182" s="2213"/>
      <c r="AA182" s="2213"/>
      <c r="AB182" s="2213"/>
      <c r="AC182" s="2213"/>
      <c r="AD182" s="2213"/>
      <c r="AE182" s="2214"/>
      <c r="AF182" s="1206"/>
      <c r="AG182" s="1206"/>
      <c r="AH182" s="2368" t="s">
        <v>2599</v>
      </c>
      <c r="AI182" s="2368"/>
      <c r="AJ182" s="2368"/>
      <c r="AK182" s="2368"/>
      <c r="AL182" s="2368"/>
      <c r="AM182" s="2368"/>
      <c r="AN182" s="2368"/>
      <c r="AO182" s="2368"/>
      <c r="AP182" s="2368"/>
      <c r="AQ182" s="2368"/>
      <c r="AR182" s="2368"/>
      <c r="AS182" s="2368"/>
      <c r="AT182" s="2368"/>
      <c r="AU182" s="2610">
        <v>2500000</v>
      </c>
      <c r="AV182" s="2610"/>
      <c r="AW182" s="2610"/>
      <c r="AX182" s="2610"/>
      <c r="AY182" s="2610"/>
      <c r="AZ182" s="2610"/>
      <c r="BA182" s="2610"/>
      <c r="BB182" s="2610"/>
      <c r="BC182" s="2614"/>
      <c r="BD182" s="2615"/>
      <c r="BE182" s="2616"/>
    </row>
    <row r="183" spans="1:57" ht="15.75" customHeight="1">
      <c r="A183" s="1206"/>
      <c r="B183" s="1206"/>
      <c r="C183" s="2357" t="s">
        <v>2479</v>
      </c>
      <c r="D183" s="2358"/>
      <c r="E183" s="2358"/>
      <c r="F183" s="2358"/>
      <c r="G183" s="2358"/>
      <c r="H183" s="2358"/>
      <c r="I183" s="2358"/>
      <c r="J183" s="2358"/>
      <c r="K183" s="2358"/>
      <c r="L183" s="2358"/>
      <c r="M183" s="2358"/>
      <c r="N183" s="2371">
        <f>'Sources and Uses Budget'!B105</f>
        <v>78744594.367705941</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2598</v>
      </c>
      <c r="AI183" s="2368"/>
      <c r="AJ183" s="2368"/>
      <c r="AK183" s="2368"/>
      <c r="AL183" s="2368"/>
      <c r="AM183" s="2368"/>
      <c r="AN183" s="2368"/>
      <c r="AO183" s="2368"/>
      <c r="AP183" s="2368"/>
      <c r="AQ183" s="2368"/>
      <c r="AR183" s="2368"/>
      <c r="AS183" s="2368"/>
      <c r="AT183" s="2368"/>
      <c r="AU183" s="2611">
        <f>MAX(0,Application!AG439-100)*20000</f>
        <v>1160000</v>
      </c>
      <c r="AV183" s="2611"/>
      <c r="AW183" s="2611"/>
      <c r="AX183" s="2611"/>
      <c r="AY183" s="2611"/>
      <c r="AZ183" s="2611"/>
      <c r="BA183" s="2611"/>
      <c r="BB183" s="2611"/>
      <c r="BC183" s="2327"/>
      <c r="BD183" s="2328"/>
      <c r="BE183" s="2329"/>
    </row>
    <row r="184" spans="1:57" ht="15.75" customHeight="1">
      <c r="A184" s="1206"/>
      <c r="B184" s="1206"/>
      <c r="C184" s="2357" t="s">
        <v>2480</v>
      </c>
      <c r="D184" s="2358"/>
      <c r="E184" s="2358"/>
      <c r="F184" s="2358"/>
      <c r="G184" s="2358"/>
      <c r="H184" s="2358"/>
      <c r="I184" s="2358"/>
      <c r="J184" s="2358"/>
      <c r="K184" s="2358"/>
      <c r="L184" s="2358"/>
      <c r="M184" s="2358"/>
      <c r="N184" s="2371">
        <f>N183/J29</f>
        <v>498383.50865636673</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603" t="s">
        <v>2597</v>
      </c>
      <c r="AI184" s="2603"/>
      <c r="AJ184" s="2603"/>
      <c r="AK184" s="2603"/>
      <c r="AL184" s="2603"/>
      <c r="AM184" s="2603"/>
      <c r="AN184" s="2603"/>
      <c r="AO184" s="2603"/>
      <c r="AP184" s="2603"/>
      <c r="AQ184" s="2603"/>
      <c r="AR184" s="2603"/>
      <c r="AS184" s="2603"/>
      <c r="AT184" s="2603"/>
      <c r="AU184" s="2326">
        <f>AU182+AU183</f>
        <v>3660000</v>
      </c>
      <c r="AV184" s="2326"/>
      <c r="AW184" s="2326"/>
      <c r="AX184" s="2326"/>
      <c r="AY184" s="2326"/>
      <c r="AZ184" s="2326"/>
      <c r="BA184" s="2326"/>
      <c r="BB184" s="2326"/>
      <c r="BC184" s="2327"/>
      <c r="BD184" s="2328"/>
      <c r="BE184" s="2329"/>
    </row>
    <row r="185" spans="1:57" ht="15.75" customHeight="1">
      <c r="A185" s="1206"/>
      <c r="B185" s="1206"/>
      <c r="C185" s="2374" t="s">
        <v>2481</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613" t="s">
        <v>2596</v>
      </c>
      <c r="AI185" s="2613"/>
      <c r="AJ185" s="2613"/>
      <c r="AK185" s="2613"/>
      <c r="AL185" s="2613"/>
      <c r="AM185" s="2613"/>
      <c r="AN185" s="2613"/>
      <c r="AO185" s="2613"/>
      <c r="AP185" s="2613"/>
      <c r="AQ185" s="2613"/>
      <c r="AR185" s="2613"/>
      <c r="AS185" s="2613"/>
      <c r="AT185" s="2613"/>
      <c r="AU185" s="2612" t="str">
        <f>IF(AU189-AU192&lt;=AU184,"Y","N")</f>
        <v>Y</v>
      </c>
      <c r="AV185" s="2612"/>
      <c r="AW185" s="2612"/>
      <c r="AX185" s="2612"/>
      <c r="AY185" s="2612"/>
      <c r="AZ185" s="2612"/>
      <c r="BA185" s="2612"/>
      <c r="BB185" s="2612"/>
      <c r="BC185" s="2327"/>
      <c r="BD185" s="2328"/>
      <c r="BE185" s="2329"/>
    </row>
    <row r="186" spans="1:57" ht="15.75" customHeight="1" thickBot="1">
      <c r="A186" s="1206"/>
      <c r="B186" s="1206"/>
      <c r="C186" s="2357" t="s">
        <v>2482</v>
      </c>
      <c r="D186" s="2358"/>
      <c r="E186" s="2358"/>
      <c r="F186" s="2358"/>
      <c r="G186" s="2358"/>
      <c r="H186" s="2358"/>
      <c r="I186" s="2358"/>
      <c r="J186" s="2358"/>
      <c r="K186" s="2358"/>
      <c r="L186" s="2358"/>
      <c r="M186" s="2358"/>
      <c r="N186" s="2359">
        <f>SUM('Sources and Uses Budget'!B85:B86)</f>
        <v>5090085.9516000003</v>
      </c>
      <c r="O186" s="2359"/>
      <c r="P186" s="2359"/>
      <c r="Q186" s="2359"/>
      <c r="R186" s="2359"/>
      <c r="S186" s="2359"/>
      <c r="T186" s="2359"/>
      <c r="U186" s="2352" t="s">
        <v>2754</v>
      </c>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2483</v>
      </c>
      <c r="D187" s="2358"/>
      <c r="E187" s="2358"/>
      <c r="F187" s="2358"/>
      <c r="G187" s="2358"/>
      <c r="H187" s="2358"/>
      <c r="I187" s="2358"/>
      <c r="J187" s="2358"/>
      <c r="K187" s="2358"/>
      <c r="L187" s="2358"/>
      <c r="M187" s="2358"/>
      <c r="N187" s="2359">
        <f>'Sources and Uses Budget'!B8</f>
        <v>3116250</v>
      </c>
      <c r="O187" s="2359"/>
      <c r="P187" s="2359"/>
      <c r="Q187" s="2359"/>
      <c r="R187" s="2359"/>
      <c r="S187" s="2359"/>
      <c r="T187" s="2359"/>
      <c r="U187" s="2352" t="s">
        <v>2755</v>
      </c>
      <c r="V187" s="2352"/>
      <c r="W187" s="2352"/>
      <c r="X187" s="2352"/>
      <c r="Y187" s="2352"/>
      <c r="Z187" s="2352"/>
      <c r="AA187" s="2352"/>
      <c r="AB187" s="2352"/>
      <c r="AC187" s="2352"/>
      <c r="AD187" s="2352"/>
      <c r="AE187" s="2353"/>
      <c r="AF187" s="1206"/>
      <c r="AG187" s="1206"/>
      <c r="AH187" s="2360" t="s">
        <v>1845</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2484</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1845</v>
      </c>
      <c r="AI188" s="2363"/>
      <c r="AJ188" s="2363"/>
      <c r="AK188" s="2363"/>
      <c r="AL188" s="2363"/>
      <c r="AM188" s="2363"/>
      <c r="AN188" s="2363"/>
      <c r="AO188" s="2363"/>
      <c r="AP188" s="2363"/>
      <c r="AQ188" s="2363"/>
      <c r="AR188" s="2363"/>
      <c r="AS188" s="2363"/>
      <c r="AT188" s="2363"/>
      <c r="AU188" s="2364">
        <v>5684854</v>
      </c>
      <c r="AV188" s="2364"/>
      <c r="AW188" s="2364"/>
      <c r="AX188" s="2364"/>
      <c r="AY188" s="2364"/>
      <c r="AZ188" s="2364"/>
      <c r="BA188" s="2364"/>
      <c r="BB188" s="2364"/>
      <c r="BC188" s="2365"/>
      <c r="BD188" s="2366"/>
      <c r="BE188" s="2367"/>
    </row>
    <row r="189" spans="1:57" ht="15.75" customHeight="1">
      <c r="A189" s="1206"/>
      <c r="B189" s="1206"/>
      <c r="C189" s="2357" t="s">
        <v>2485</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2595</v>
      </c>
      <c r="AI189" s="2368"/>
      <c r="AJ189" s="2368"/>
      <c r="AK189" s="2368"/>
      <c r="AL189" s="2368"/>
      <c r="AM189" s="2368"/>
      <c r="AN189" s="2368"/>
      <c r="AO189" s="2368"/>
      <c r="AP189" s="2368"/>
      <c r="AQ189" s="2368"/>
      <c r="AR189" s="2368"/>
      <c r="AS189" s="2368"/>
      <c r="AT189" s="2368"/>
      <c r="AU189" s="2356">
        <v>3621957</v>
      </c>
      <c r="AV189" s="2356"/>
      <c r="AW189" s="2356"/>
      <c r="AX189" s="2356"/>
      <c r="AY189" s="2356"/>
      <c r="AZ189" s="2356"/>
      <c r="BA189" s="2356"/>
      <c r="BB189" s="2356"/>
      <c r="BC189" s="2327"/>
      <c r="BD189" s="2328"/>
      <c r="BE189" s="2329"/>
    </row>
    <row r="190" spans="1:57" ht="15.75" customHeight="1">
      <c r="A190" s="1206"/>
      <c r="B190" s="1206"/>
      <c r="C190" s="2354" t="s">
        <v>300</v>
      </c>
      <c r="D190" s="2355"/>
      <c r="E190" s="2350" t="s">
        <v>1839</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603" t="s">
        <v>2594</v>
      </c>
      <c r="AI190" s="2603"/>
      <c r="AJ190" s="2603"/>
      <c r="AK190" s="2603"/>
      <c r="AL190" s="2603"/>
      <c r="AM190" s="2603"/>
      <c r="AN190" s="2603"/>
      <c r="AO190" s="2603"/>
      <c r="AP190" s="2603"/>
      <c r="AQ190" s="2603"/>
      <c r="AR190" s="2603"/>
      <c r="AS190" s="2603"/>
      <c r="AT190" s="2603"/>
      <c r="AU190" s="2326">
        <f>SUM(AU188:BB189)</f>
        <v>9306811</v>
      </c>
      <c r="AV190" s="2326"/>
      <c r="AW190" s="2326"/>
      <c r="AX190" s="2326"/>
      <c r="AY190" s="2326"/>
      <c r="AZ190" s="2326"/>
      <c r="BA190" s="2326"/>
      <c r="BB190" s="2326"/>
      <c r="BC190" s="2327"/>
      <c r="BD190" s="2328"/>
      <c r="BE190" s="2329"/>
    </row>
    <row r="191" spans="1:57" ht="15.75" customHeight="1" thickBot="1">
      <c r="A191" s="1206"/>
      <c r="B191" s="1206"/>
      <c r="C191" s="2348" t="s">
        <v>300</v>
      </c>
      <c r="D191" s="2349"/>
      <c r="E191" s="2350" t="s">
        <v>1839</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300</v>
      </c>
      <c r="D192" s="2338"/>
      <c r="E192" s="2339" t="s">
        <v>1839</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1846</v>
      </c>
      <c r="AI192" s="2312"/>
      <c r="AJ192" s="2312"/>
      <c r="AK192" s="2312"/>
      <c r="AL192" s="2312"/>
      <c r="AM192" s="2312"/>
      <c r="AN192" s="2312"/>
      <c r="AO192" s="2312"/>
      <c r="AP192" s="2312"/>
      <c r="AQ192" s="2312"/>
      <c r="AR192" s="2312"/>
      <c r="AS192" s="2312"/>
      <c r="AT192" s="2312"/>
      <c r="AU192" s="2321">
        <v>0</v>
      </c>
      <c r="AV192" s="2321"/>
      <c r="AW192" s="2321"/>
      <c r="AX192" s="2321"/>
      <c r="AY192" s="2321"/>
      <c r="AZ192" s="2321"/>
      <c r="BA192" s="2321"/>
      <c r="BB192" s="2321"/>
      <c r="BC192" s="1219"/>
      <c r="BD192" s="1219"/>
      <c r="BE192" s="1218"/>
    </row>
    <row r="193" spans="1:57" ht="15.75" customHeight="1">
      <c r="A193" s="1206"/>
      <c r="B193" s="1206"/>
      <c r="C193" s="2333" t="s">
        <v>1847</v>
      </c>
      <c r="D193" s="2334"/>
      <c r="E193" s="2334"/>
      <c r="F193" s="2334"/>
      <c r="G193" s="2334"/>
      <c r="H193" s="2334"/>
      <c r="I193" s="2334"/>
      <c r="J193" s="2334"/>
      <c r="K193" s="2334"/>
      <c r="L193" s="2334"/>
      <c r="M193" s="2334"/>
      <c r="N193" s="2335">
        <f>SUM(N185:T192)</f>
        <v>8206335.9516000003</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2593</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2486</v>
      </c>
      <c r="D194" s="2314"/>
      <c r="E194" s="2314"/>
      <c r="F194" s="2314"/>
      <c r="G194" s="2314"/>
      <c r="H194" s="2314"/>
      <c r="I194" s="2314"/>
      <c r="J194" s="2314"/>
      <c r="K194" s="2314"/>
      <c r="L194" s="2314"/>
      <c r="M194" s="2314"/>
      <c r="N194" s="2315">
        <f>(N183-N193)/J29</f>
        <v>446444.67351965787</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2592</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6" t="s">
        <v>2591</v>
      </c>
      <c r="D198" s="2606"/>
      <c r="E198" s="2606"/>
      <c r="F198" s="2606"/>
      <c r="G198" s="2606"/>
      <c r="H198" s="2606"/>
      <c r="I198" s="2606"/>
      <c r="J198" s="2606"/>
      <c r="K198" s="2606"/>
      <c r="L198" s="2606"/>
      <c r="M198" s="2606"/>
      <c r="N198" s="2606"/>
      <c r="O198" s="2607" t="s">
        <v>2590</v>
      </c>
      <c r="P198" s="2607"/>
      <c r="Q198" s="2607"/>
      <c r="R198" s="2607"/>
      <c r="S198" s="2607"/>
      <c r="T198" s="2607"/>
      <c r="U198" s="2607"/>
      <c r="V198" s="2607"/>
      <c r="W198" s="2607"/>
      <c r="X198" s="2607" t="s">
        <v>2589</v>
      </c>
      <c r="Y198" s="2607"/>
      <c r="Z198" s="2607"/>
      <c r="AA198" s="2607"/>
      <c r="AB198" s="2607"/>
      <c r="AC198" s="2607"/>
      <c r="AD198" s="2607"/>
      <c r="AE198" s="260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4" t="s">
        <v>2588</v>
      </c>
      <c r="D199" s="2604"/>
      <c r="E199" s="2604"/>
      <c r="F199" s="2604"/>
      <c r="G199" s="2604"/>
      <c r="H199" s="2604"/>
      <c r="I199" s="2604"/>
      <c r="J199" s="2604"/>
      <c r="K199" s="2604"/>
      <c r="L199" s="2604"/>
      <c r="M199" s="2604"/>
      <c r="N199" s="2604"/>
      <c r="O199" s="2319">
        <v>15000</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4" t="s">
        <v>865</v>
      </c>
      <c r="D200" s="2604"/>
      <c r="E200" s="2604"/>
      <c r="F200" s="2604"/>
      <c r="G200" s="2604"/>
      <c r="H200" s="2604"/>
      <c r="I200" s="2604"/>
      <c r="J200" s="2604"/>
      <c r="K200" s="2604"/>
      <c r="L200" s="2604"/>
      <c r="M200" s="2604"/>
      <c r="N200" s="2604"/>
      <c r="O200" s="2319">
        <v>20000</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4" t="s">
        <v>2587</v>
      </c>
      <c r="D201" s="2604"/>
      <c r="E201" s="2604"/>
      <c r="F201" s="2604"/>
      <c r="G201" s="2604"/>
      <c r="H201" s="2604"/>
      <c r="I201" s="2604"/>
      <c r="J201" s="2604"/>
      <c r="K201" s="2604"/>
      <c r="L201" s="2604"/>
      <c r="M201" s="2604"/>
      <c r="N201" s="2604"/>
      <c r="O201" s="2608">
        <f>SUM(O199:W200)</f>
        <v>35000</v>
      </c>
      <c r="P201" s="2609"/>
      <c r="Q201" s="2609"/>
      <c r="R201" s="2609"/>
      <c r="S201" s="2609"/>
      <c r="T201" s="2609"/>
      <c r="U201" s="2609"/>
      <c r="V201" s="2609"/>
      <c r="W201" s="2609"/>
      <c r="X201" s="2609" t="s">
        <v>2586</v>
      </c>
      <c r="Y201" s="2609"/>
      <c r="Z201" s="2609"/>
      <c r="AA201" s="2609"/>
      <c r="AB201" s="2609"/>
      <c r="AC201" s="2609"/>
      <c r="AD201" s="2609"/>
      <c r="AE201" s="260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5" t="s">
        <v>2585</v>
      </c>
      <c r="D202" s="2605"/>
      <c r="E202" s="2605"/>
      <c r="F202" s="2605"/>
      <c r="G202" s="2605"/>
      <c r="H202" s="2605"/>
      <c r="I202" s="2605"/>
      <c r="J202" s="2605"/>
      <c r="K202" s="2605"/>
      <c r="L202" s="2605"/>
      <c r="M202" s="2605"/>
      <c r="N202" s="2605"/>
      <c r="O202" s="2605"/>
      <c r="P202" s="2605"/>
      <c r="Q202" s="2605"/>
      <c r="R202" s="2605"/>
      <c r="S202" s="2605"/>
      <c r="T202" s="2605"/>
      <c r="U202" s="2605"/>
      <c r="V202" s="2605"/>
      <c r="W202" s="2605"/>
      <c r="X202" s="2605"/>
      <c r="Y202" s="2605"/>
      <c r="Z202" s="2605"/>
      <c r="AA202" s="2605"/>
      <c r="AB202" s="2605"/>
      <c r="AC202" s="2605"/>
      <c r="AD202" s="2605"/>
      <c r="AE202" s="260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2584</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2583</v>
      </c>
      <c r="D205" s="2259"/>
      <c r="E205" s="2259"/>
      <c r="F205" s="2302"/>
      <c r="G205" s="2258" t="s">
        <v>2582</v>
      </c>
      <c r="H205" s="2259"/>
      <c r="I205" s="2259"/>
      <c r="J205" s="2259"/>
      <c r="K205" s="2259"/>
      <c r="L205" s="2259"/>
      <c r="M205" s="2259"/>
      <c r="N205" s="2259"/>
      <c r="O205" s="2302"/>
      <c r="P205" s="2305" t="s">
        <v>2581</v>
      </c>
      <c r="Q205" s="2306"/>
      <c r="R205" s="2306"/>
      <c r="S205" s="2306"/>
      <c r="T205" s="2307"/>
      <c r="U205" s="2252" t="s">
        <v>2580</v>
      </c>
      <c r="V205" s="2253"/>
      <c r="W205" s="2253"/>
      <c r="X205" s="2254"/>
      <c r="Y205" s="2252" t="s">
        <v>2579</v>
      </c>
      <c r="Z205" s="2253"/>
      <c r="AA205" s="2253"/>
      <c r="AB205" s="2254"/>
      <c r="AC205" s="2252" t="s">
        <v>2578</v>
      </c>
      <c r="AD205" s="2253"/>
      <c r="AE205" s="2253"/>
      <c r="AF205" s="2254"/>
      <c r="AG205" s="2258" t="s">
        <v>2577</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2756</v>
      </c>
      <c r="H207" s="2266"/>
      <c r="I207" s="2266"/>
      <c r="J207" s="2266"/>
      <c r="K207" s="2266"/>
      <c r="L207" s="2266"/>
      <c r="M207" s="2266"/>
      <c r="N207" s="2266"/>
      <c r="O207" s="2266"/>
      <c r="P207" s="2267">
        <v>45690</v>
      </c>
      <c r="Q207" s="2268"/>
      <c r="R207" s="2268"/>
      <c r="S207" s="2268"/>
      <c r="T207" s="2268"/>
      <c r="U207" s="2269">
        <v>7645461</v>
      </c>
      <c r="V207" s="2269"/>
      <c r="W207" s="2269"/>
      <c r="X207" s="2269"/>
      <c r="Y207" s="2269">
        <v>875000</v>
      </c>
      <c r="Z207" s="2269"/>
      <c r="AA207" s="2269"/>
      <c r="AB207" s="2269"/>
      <c r="AC207" s="2270">
        <v>0.23760000000000001</v>
      </c>
      <c r="AD207" s="2270"/>
      <c r="AE207" s="2270"/>
      <c r="AF207" s="2270"/>
      <c r="AG207" s="2249" t="s">
        <v>2757</v>
      </c>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2758</v>
      </c>
      <c r="H208" s="2266"/>
      <c r="I208" s="2266"/>
      <c r="J208" s="2266"/>
      <c r="K208" s="2266"/>
      <c r="L208" s="2266"/>
      <c r="M208" s="2266"/>
      <c r="N208" s="2266"/>
      <c r="O208" s="2266"/>
      <c r="P208" s="2267">
        <v>46420</v>
      </c>
      <c r="Q208" s="2267"/>
      <c r="R208" s="2267"/>
      <c r="S208" s="2267"/>
      <c r="T208" s="2267"/>
      <c r="U208" s="2269">
        <v>15290922</v>
      </c>
      <c r="V208" s="2269"/>
      <c r="W208" s="2269"/>
      <c r="X208" s="2269"/>
      <c r="Y208" s="2269">
        <v>350000</v>
      </c>
      <c r="Z208" s="2269"/>
      <c r="AA208" s="2269"/>
      <c r="AB208" s="2269"/>
      <c r="AC208" s="2270">
        <v>9.5000000000000001E-2</v>
      </c>
      <c r="AD208" s="2270"/>
      <c r="AE208" s="2270"/>
      <c r="AF208" s="2270"/>
      <c r="AG208" s="2249" t="s">
        <v>2757</v>
      </c>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2759</v>
      </c>
      <c r="H209" s="2266"/>
      <c r="I209" s="2266"/>
      <c r="J209" s="2266"/>
      <c r="K209" s="2266"/>
      <c r="L209" s="2266"/>
      <c r="M209" s="2266"/>
      <c r="N209" s="2266"/>
      <c r="O209" s="2266"/>
      <c r="P209" s="2267">
        <v>46662</v>
      </c>
      <c r="Q209" s="2267"/>
      <c r="R209" s="2267"/>
      <c r="S209" s="2267"/>
      <c r="T209" s="2267"/>
      <c r="U209" s="2269">
        <v>27733358</v>
      </c>
      <c r="V209" s="2269"/>
      <c r="W209" s="2269"/>
      <c r="X209" s="2269"/>
      <c r="Y209" s="2269">
        <v>2170406</v>
      </c>
      <c r="Z209" s="2269"/>
      <c r="AA209" s="2269"/>
      <c r="AB209" s="2269"/>
      <c r="AC209" s="2270">
        <v>0.60409999999999997</v>
      </c>
      <c r="AD209" s="2270"/>
      <c r="AE209" s="2270"/>
      <c r="AF209" s="2270"/>
      <c r="AG209" s="2249" t="s">
        <v>2757</v>
      </c>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v>8609</v>
      </c>
      <c r="H210" s="2266"/>
      <c r="I210" s="2266"/>
      <c r="J210" s="2266"/>
      <c r="K210" s="2266"/>
      <c r="L210" s="2266"/>
      <c r="M210" s="2266"/>
      <c r="N210" s="2266"/>
      <c r="O210" s="2266"/>
      <c r="P210" s="2267">
        <v>46845</v>
      </c>
      <c r="Q210" s="2267"/>
      <c r="R210" s="2267"/>
      <c r="S210" s="2267"/>
      <c r="T210" s="2267"/>
      <c r="U210" s="2269">
        <v>300000</v>
      </c>
      <c r="V210" s="2269"/>
      <c r="W210" s="2269"/>
      <c r="X210" s="2269"/>
      <c r="Y210" s="2269">
        <v>226551</v>
      </c>
      <c r="Z210" s="2269"/>
      <c r="AA210" s="2269"/>
      <c r="AB210" s="2269"/>
      <c r="AC210" s="2270">
        <v>0.06</v>
      </c>
      <c r="AD210" s="2270"/>
      <c r="AE210" s="2270"/>
      <c r="AF210" s="2270"/>
      <c r="AG210" s="2249" t="s">
        <v>2757</v>
      </c>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2148</v>
      </c>
      <c r="V211" s="2269"/>
      <c r="W211" s="2269"/>
      <c r="X211" s="2269"/>
      <c r="Y211" s="2269" t="s">
        <v>2148</v>
      </c>
      <c r="Z211" s="2269"/>
      <c r="AA211" s="2269"/>
      <c r="AB211" s="2269"/>
      <c r="AC211" s="2270" t="s">
        <v>2148</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2148</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2148</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17"/>
      <c r="H213" s="2618"/>
      <c r="I213" s="2618"/>
      <c r="J213" s="2618"/>
      <c r="K213" s="2618"/>
      <c r="L213" s="2618"/>
      <c r="M213" s="2618"/>
      <c r="N213" s="2618"/>
      <c r="O213" s="2619"/>
      <c r="P213" s="2267"/>
      <c r="Q213" s="2267"/>
      <c r="R213" s="2267"/>
      <c r="S213" s="2267"/>
      <c r="T213" s="2267"/>
      <c r="U213" s="2269"/>
      <c r="V213" s="2269"/>
      <c r="W213" s="2269"/>
      <c r="X213" s="2269"/>
      <c r="Y213" s="2269"/>
      <c r="Z213" s="2269"/>
      <c r="AA213" s="2269"/>
      <c r="AB213" s="2269"/>
      <c r="AC213" s="2270" t="s">
        <v>2148</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20" t="s">
        <v>2576</v>
      </c>
      <c r="D214" s="2621"/>
      <c r="E214" s="2621"/>
      <c r="F214" s="2621"/>
      <c r="G214" s="2621"/>
      <c r="H214" s="2621"/>
      <c r="I214" s="2621"/>
      <c r="J214" s="2621"/>
      <c r="K214" s="2621"/>
      <c r="L214" s="2621"/>
      <c r="M214" s="2621"/>
      <c r="N214" s="2621"/>
      <c r="O214" s="2621"/>
      <c r="P214" s="2622"/>
      <c r="Q214" s="2622"/>
      <c r="R214" s="2622"/>
      <c r="S214" s="2622"/>
      <c r="T214" s="2622"/>
      <c r="U214" s="2623">
        <v>0</v>
      </c>
      <c r="V214" s="2623"/>
      <c r="W214" s="2623"/>
      <c r="X214" s="2623"/>
      <c r="Y214" s="2623">
        <v>0</v>
      </c>
      <c r="Z214" s="2623"/>
      <c r="AA214" s="2623"/>
      <c r="AB214" s="2623"/>
      <c r="AC214" s="2624">
        <v>0</v>
      </c>
      <c r="AD214" s="2624"/>
      <c r="AE214" s="2624"/>
      <c r="AF214" s="2624"/>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2575</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1848</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1849</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1850</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1851</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1852</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1853</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2487</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1854</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1855</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1856</v>
      </c>
      <c r="I239" s="2271"/>
      <c r="J239" s="2271"/>
      <c r="K239" s="1210"/>
      <c r="L239" s="1208"/>
      <c r="M239" s="1208"/>
      <c r="N239" s="1208"/>
      <c r="O239" s="1208"/>
      <c r="P239" s="1208"/>
      <c r="Q239" s="1208"/>
      <c r="R239" s="1208"/>
      <c r="S239" s="2289" t="s">
        <v>2646</v>
      </c>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443</v>
      </c>
      <c r="I241" s="2271"/>
      <c r="J241" s="1210"/>
      <c r="K241" s="1210"/>
      <c r="L241" s="1208"/>
      <c r="M241" s="1208"/>
      <c r="N241" s="1208"/>
      <c r="O241" s="1208"/>
      <c r="P241" s="1208"/>
      <c r="Q241" s="1208"/>
      <c r="R241" s="1208"/>
      <c r="S241" s="2289" t="s">
        <v>2765</v>
      </c>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1857</v>
      </c>
      <c r="I243" s="2272"/>
      <c r="J243" s="2272"/>
      <c r="K243" s="2272"/>
      <c r="L243" s="2272"/>
      <c r="M243" s="2272"/>
      <c r="N243" s="2272"/>
      <c r="O243" s="2272"/>
      <c r="P243" s="1208"/>
      <c r="Q243" s="1208"/>
      <c r="R243" s="1208"/>
      <c r="S243" s="2289" t="s">
        <v>2628</v>
      </c>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1858</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B71" sqref="AB71:AF7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1388</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58" t="str">
        <f xml:space="preserve"> IF(T25=100%,'Sources and Basis Breakdown'!G2,'Sources and Basis Breakdown'!F2)</f>
        <v>30% PVC for New Const/
Rehabilitation
DDA/QCT
Building(s)</v>
      </c>
      <c r="U7" s="2658"/>
      <c r="V7" s="2658"/>
      <c r="W7" s="2658"/>
      <c r="X7" s="2658"/>
      <c r="Y7" s="2658" t="str">
        <f>IF(T25=100%,"",'Sources and Basis Breakdown'!G2)</f>
        <v>30% PVC for New Const/
Rehabilitation
NON-DDA/
NON-QCT Building(s)</v>
      </c>
      <c r="Z7" s="2658"/>
      <c r="AA7" s="2658"/>
      <c r="AB7" s="2658"/>
      <c r="AC7" s="2658"/>
      <c r="AD7" s="2658" t="str">
        <f xml:space="preserve"> IF(T25=100%, 'Sources and Basis Breakdown'!J2,'Sources and Basis Breakdown'!I2)</f>
        <v>30% PVC for Acquisition
DDA/QCT Building(s)</v>
      </c>
      <c r="AE7" s="2658"/>
      <c r="AF7" s="2658"/>
      <c r="AG7" s="2658"/>
      <c r="AH7" s="2658"/>
      <c r="AI7" s="2658" t="str">
        <f>IF(T25=100%,"",'Sources and Basis Breakdown'!J2)</f>
        <v>30% PVC for Acquisition
NON-DDA/
NON-QCT Building(s)</v>
      </c>
      <c r="AJ7" s="2658"/>
      <c r="AK7" s="2658"/>
      <c r="AL7" s="2658"/>
      <c r="AM7" s="2658"/>
    </row>
    <row r="8" spans="1:40" ht="12.95" customHeight="1">
      <c r="B8" s="438"/>
      <c r="T8" s="2658"/>
      <c r="U8" s="2658"/>
      <c r="V8" s="2658"/>
      <c r="W8" s="2658"/>
      <c r="X8" s="2658"/>
      <c r="Y8" s="2658"/>
      <c r="Z8" s="2658"/>
      <c r="AA8" s="2658"/>
      <c r="AB8" s="2658"/>
      <c r="AC8" s="2658"/>
      <c r="AD8" s="2658"/>
      <c r="AE8" s="2658"/>
      <c r="AF8" s="2658"/>
      <c r="AG8" s="2658"/>
      <c r="AH8" s="2658"/>
      <c r="AI8" s="2658"/>
      <c r="AJ8" s="2658"/>
      <c r="AK8" s="2658"/>
      <c r="AL8" s="2658"/>
      <c r="AM8" s="2658"/>
    </row>
    <row r="9" spans="1:40" ht="12.95" customHeight="1">
      <c r="B9" s="438"/>
      <c r="T9" s="2658"/>
      <c r="U9" s="2658"/>
      <c r="V9" s="2658"/>
      <c r="W9" s="2658"/>
      <c r="X9" s="2658"/>
      <c r="Y9" s="2658"/>
      <c r="Z9" s="2658"/>
      <c r="AA9" s="2658"/>
      <c r="AB9" s="2658"/>
      <c r="AC9" s="2658"/>
      <c r="AD9" s="2658"/>
      <c r="AE9" s="2658"/>
      <c r="AF9" s="2658"/>
      <c r="AG9" s="2658"/>
      <c r="AH9" s="2658"/>
      <c r="AI9" s="2658"/>
      <c r="AJ9" s="2658"/>
      <c r="AK9" s="2658"/>
      <c r="AL9" s="2658"/>
      <c r="AM9" s="2658"/>
    </row>
    <row r="10" spans="1:40" ht="12.95" customHeight="1">
      <c r="B10" s="439"/>
      <c r="C10" s="440"/>
      <c r="D10" s="440"/>
      <c r="E10" s="440"/>
      <c r="F10" s="440"/>
      <c r="G10" s="440"/>
      <c r="H10" s="440"/>
      <c r="I10" s="440"/>
      <c r="J10" s="440"/>
      <c r="K10" s="440"/>
      <c r="L10" s="440"/>
      <c r="M10" s="440"/>
      <c r="N10" s="440"/>
      <c r="O10" s="440"/>
      <c r="P10" s="440"/>
      <c r="Q10" s="440"/>
      <c r="R10" s="440"/>
      <c r="S10" s="440"/>
      <c r="T10" s="2658"/>
      <c r="U10" s="2658"/>
      <c r="V10" s="2658"/>
      <c r="W10" s="2658"/>
      <c r="X10" s="2658"/>
      <c r="Y10" s="2658"/>
      <c r="Z10" s="2658"/>
      <c r="AA10" s="2658"/>
      <c r="AB10" s="2658"/>
      <c r="AC10" s="2658"/>
      <c r="AD10" s="2658"/>
      <c r="AE10" s="2658"/>
      <c r="AF10" s="2658"/>
      <c r="AG10" s="2658"/>
      <c r="AH10" s="2658"/>
      <c r="AI10" s="2658"/>
      <c r="AJ10" s="2658"/>
      <c r="AK10" s="2658"/>
      <c r="AL10" s="2658"/>
      <c r="AM10" s="2658"/>
    </row>
    <row r="11" spans="1:40" ht="12.95" customHeight="1">
      <c r="B11" s="2637" t="s">
        <v>375</v>
      </c>
      <c r="C11" s="2638"/>
      <c r="D11" s="2638"/>
      <c r="E11" s="2638"/>
      <c r="F11" s="2638"/>
      <c r="G11" s="2638"/>
      <c r="H11" s="2638"/>
      <c r="I11" s="2638"/>
      <c r="J11" s="2638"/>
      <c r="K11" s="2638"/>
      <c r="L11" s="2638"/>
      <c r="M11" s="2638"/>
      <c r="N11" s="2638"/>
      <c r="O11" s="2638"/>
      <c r="P11" s="2638"/>
      <c r="Q11" s="2638"/>
      <c r="R11" s="2638"/>
      <c r="S11" s="2639"/>
      <c r="T11" s="2659">
        <f>IF('Sources and Basis Breakdown'!F107=0,'Sources and Basis Breakdown'!E107,'Sources and Basis Breakdown'!F107)</f>
        <v>71352217.710673317</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52" t="s">
        <v>505</v>
      </c>
      <c r="C12" s="1285"/>
      <c r="D12" s="1285"/>
      <c r="E12" s="1285"/>
      <c r="F12" s="1285"/>
      <c r="G12" s="1285"/>
      <c r="H12" s="1285"/>
      <c r="I12" s="1285"/>
      <c r="J12" s="1285"/>
      <c r="K12" s="1285"/>
      <c r="L12" s="1285"/>
      <c r="M12" s="1285"/>
      <c r="N12" s="1285"/>
      <c r="O12" s="1285"/>
      <c r="P12" s="1285"/>
      <c r="Q12" s="1285"/>
      <c r="R12" s="1285"/>
      <c r="S12" s="2653"/>
      <c r="T12" s="2625"/>
      <c r="U12" s="2626"/>
      <c r="V12" s="2626"/>
      <c r="W12" s="2626"/>
      <c r="X12" s="2627"/>
      <c r="Y12" s="2625"/>
      <c r="Z12" s="2626"/>
      <c r="AA12" s="2626"/>
      <c r="AB12" s="2626"/>
      <c r="AC12" s="2627"/>
      <c r="AD12" s="2625"/>
      <c r="AE12" s="2626"/>
      <c r="AF12" s="2626"/>
      <c r="AG12" s="2626"/>
      <c r="AH12" s="2627"/>
      <c r="AI12" s="2625"/>
      <c r="AJ12" s="2626"/>
      <c r="AK12" s="2626"/>
      <c r="AL12" s="2626"/>
      <c r="AM12" s="2627"/>
    </row>
    <row r="13" spans="1:40" ht="12.95" customHeight="1">
      <c r="B13" s="467"/>
      <c r="C13" s="2654" t="s">
        <v>506</v>
      </c>
      <c r="D13" s="2654"/>
      <c r="E13" s="2654"/>
      <c r="F13" s="2654"/>
      <c r="G13" s="2654"/>
      <c r="H13" s="2654"/>
      <c r="I13" s="2654"/>
      <c r="J13" s="2654"/>
      <c r="K13" s="2654"/>
      <c r="L13" s="2654"/>
      <c r="M13" s="2654"/>
      <c r="N13" s="2654"/>
      <c r="O13" s="2654"/>
      <c r="P13" s="2654"/>
      <c r="Q13" s="2654"/>
      <c r="R13" s="2654"/>
      <c r="S13" s="2655"/>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2.95" customHeight="1">
      <c r="B14" s="467"/>
      <c r="C14" s="2654" t="s">
        <v>507</v>
      </c>
      <c r="D14" s="2654"/>
      <c r="E14" s="2654"/>
      <c r="F14" s="2654"/>
      <c r="G14" s="2654"/>
      <c r="H14" s="2654"/>
      <c r="I14" s="2654"/>
      <c r="J14" s="2654"/>
      <c r="K14" s="2654"/>
      <c r="L14" s="2654"/>
      <c r="M14" s="2654"/>
      <c r="N14" s="2654"/>
      <c r="O14" s="2654"/>
      <c r="P14" s="2654"/>
      <c r="Q14" s="2654"/>
      <c r="R14" s="2654"/>
      <c r="S14" s="2655"/>
      <c r="T14" s="2628"/>
      <c r="U14" s="2629"/>
      <c r="V14" s="2629"/>
      <c r="W14" s="2629"/>
      <c r="X14" s="2629"/>
      <c r="Y14" s="2628"/>
      <c r="Z14" s="2629"/>
      <c r="AA14" s="2629"/>
      <c r="AB14" s="2629"/>
      <c r="AC14" s="2629"/>
      <c r="AD14" s="2629"/>
      <c r="AE14" s="2629"/>
      <c r="AF14" s="2629"/>
      <c r="AG14" s="2629"/>
      <c r="AH14" s="2629"/>
      <c r="AI14" s="2629"/>
      <c r="AJ14" s="2629"/>
      <c r="AK14" s="2629"/>
      <c r="AL14" s="2629"/>
      <c r="AM14" s="2629"/>
    </row>
    <row r="15" spans="1:40" ht="12.95" customHeight="1">
      <c r="B15" s="467"/>
      <c r="C15" s="2654" t="s">
        <v>508</v>
      </c>
      <c r="D15" s="2654"/>
      <c r="E15" s="2654"/>
      <c r="F15" s="2654"/>
      <c r="G15" s="2654"/>
      <c r="H15" s="2654"/>
      <c r="I15" s="2654"/>
      <c r="J15" s="2654"/>
      <c r="K15" s="2654"/>
      <c r="L15" s="2654"/>
      <c r="M15" s="2654"/>
      <c r="N15" s="2654"/>
      <c r="O15" s="2654"/>
      <c r="P15" s="2654"/>
      <c r="Q15" s="2654"/>
      <c r="R15" s="2654"/>
      <c r="S15" s="2655"/>
      <c r="T15" s="2628"/>
      <c r="U15" s="2629"/>
      <c r="V15" s="2629"/>
      <c r="W15" s="2629"/>
      <c r="X15" s="2629"/>
      <c r="Y15" s="2628"/>
      <c r="Z15" s="2629"/>
      <c r="AA15" s="2629"/>
      <c r="AB15" s="2629"/>
      <c r="AC15" s="2629"/>
      <c r="AD15" s="2629"/>
      <c r="AE15" s="2629"/>
      <c r="AF15" s="2629"/>
      <c r="AG15" s="2629"/>
      <c r="AH15" s="2629"/>
      <c r="AI15" s="2629"/>
      <c r="AJ15" s="2629"/>
      <c r="AK15" s="2629"/>
      <c r="AL15" s="2629"/>
      <c r="AM15" s="2629"/>
    </row>
    <row r="16" spans="1:40" ht="12.95" customHeight="1">
      <c r="B16" s="467"/>
      <c r="C16" s="2654" t="s">
        <v>814</v>
      </c>
      <c r="D16" s="2654"/>
      <c r="E16" s="2654"/>
      <c r="F16" s="2654"/>
      <c r="G16" s="2654"/>
      <c r="H16" s="2654"/>
      <c r="I16" s="2654"/>
      <c r="J16" s="2654"/>
      <c r="K16" s="2654"/>
      <c r="L16" s="2654"/>
      <c r="M16" s="2654"/>
      <c r="N16" s="2654"/>
      <c r="O16" s="2654"/>
      <c r="P16" s="2654"/>
      <c r="Q16" s="2654"/>
      <c r="R16" s="2654"/>
      <c r="S16" s="2655"/>
      <c r="T16" s="2628"/>
      <c r="U16" s="2629"/>
      <c r="V16" s="2629"/>
      <c r="W16" s="2629"/>
      <c r="X16" s="2629"/>
      <c r="Y16" s="2628"/>
      <c r="Z16" s="2629"/>
      <c r="AA16" s="2629"/>
      <c r="AB16" s="2629"/>
      <c r="AC16" s="2629"/>
      <c r="AD16" s="2629"/>
      <c r="AE16" s="2629"/>
      <c r="AF16" s="2629"/>
      <c r="AG16" s="2629"/>
      <c r="AH16" s="2629"/>
      <c r="AI16" s="2629"/>
      <c r="AJ16" s="2629"/>
      <c r="AK16" s="2629"/>
      <c r="AL16" s="2629"/>
      <c r="AM16" s="2629"/>
    </row>
    <row r="17" spans="1:40" ht="12.95" customHeight="1">
      <c r="B17" s="467"/>
      <c r="C17" s="2654" t="s">
        <v>509</v>
      </c>
      <c r="D17" s="2654"/>
      <c r="E17" s="2654"/>
      <c r="F17" s="2654"/>
      <c r="G17" s="2654"/>
      <c r="H17" s="2654"/>
      <c r="I17" s="2654"/>
      <c r="J17" s="2654"/>
      <c r="K17" s="2654"/>
      <c r="L17" s="2654"/>
      <c r="M17" s="2654"/>
      <c r="N17" s="2654"/>
      <c r="O17" s="2654"/>
      <c r="P17" s="2654"/>
      <c r="Q17" s="2654"/>
      <c r="R17" s="2654"/>
      <c r="S17" s="2655"/>
      <c r="T17" s="2628"/>
      <c r="U17" s="2629"/>
      <c r="V17" s="2629"/>
      <c r="W17" s="2629"/>
      <c r="X17" s="2629"/>
      <c r="Y17" s="2628"/>
      <c r="Z17" s="2629"/>
      <c r="AA17" s="2629"/>
      <c r="AB17" s="2629"/>
      <c r="AC17" s="2629"/>
      <c r="AD17" s="2629"/>
      <c r="AE17" s="2629"/>
      <c r="AF17" s="2629"/>
      <c r="AG17" s="2629"/>
      <c r="AH17" s="2629"/>
      <c r="AI17" s="2629"/>
      <c r="AJ17" s="2629"/>
      <c r="AK17" s="2629"/>
      <c r="AL17" s="2629"/>
      <c r="AM17" s="2629"/>
    </row>
    <row r="18" spans="1:40" ht="12.95" customHeight="1">
      <c r="A18"/>
      <c r="B18" s="1191"/>
      <c r="C18" s="1670" t="s">
        <v>977</v>
      </c>
      <c r="D18" s="1670"/>
      <c r="E18" s="1670"/>
      <c r="F18" s="1670"/>
      <c r="G18" s="1670"/>
      <c r="H18" s="1670"/>
      <c r="I18" s="1670"/>
      <c r="J18" s="1670"/>
      <c r="K18" s="1670"/>
      <c r="L18" s="1670"/>
      <c r="M18" s="1670"/>
      <c r="N18" s="1670"/>
      <c r="O18" s="1670"/>
      <c r="P18" s="1670"/>
      <c r="Q18" s="1670"/>
      <c r="R18" s="1670"/>
      <c r="S18" s="1671"/>
      <c r="T18" s="2628"/>
      <c r="U18" s="2629"/>
      <c r="V18" s="2629"/>
      <c r="W18" s="2629"/>
      <c r="X18" s="2629"/>
      <c r="Y18" s="2628"/>
      <c r="Z18" s="2629"/>
      <c r="AA18" s="2629"/>
      <c r="AB18" s="2629"/>
      <c r="AC18" s="2629"/>
      <c r="AD18" s="2629"/>
      <c r="AE18" s="2629"/>
      <c r="AF18" s="2629"/>
      <c r="AG18" s="2629"/>
      <c r="AH18" s="2629"/>
      <c r="AI18" s="2629"/>
      <c r="AJ18" s="2629"/>
      <c r="AK18" s="2629"/>
      <c r="AL18" s="2629"/>
      <c r="AM18" s="2629"/>
    </row>
    <row r="19" spans="1:40" ht="12.95" customHeight="1">
      <c r="B19" s="1191"/>
      <c r="C19" s="1670" t="s">
        <v>977</v>
      </c>
      <c r="D19" s="1670"/>
      <c r="E19" s="1670"/>
      <c r="F19" s="1670"/>
      <c r="G19" s="1670"/>
      <c r="H19" s="1670"/>
      <c r="I19" s="1670"/>
      <c r="J19" s="1670"/>
      <c r="K19" s="1670"/>
      <c r="L19" s="1670"/>
      <c r="M19" s="1670"/>
      <c r="N19" s="1670"/>
      <c r="O19" s="1670"/>
      <c r="P19" s="1670"/>
      <c r="Q19" s="1670"/>
      <c r="R19" s="1670"/>
      <c r="S19" s="1671"/>
      <c r="T19" s="2628"/>
      <c r="U19" s="2629"/>
      <c r="V19" s="2629"/>
      <c r="W19" s="2629"/>
      <c r="X19" s="2629"/>
      <c r="Y19" s="2628"/>
      <c r="Z19" s="2629"/>
      <c r="AA19" s="2629"/>
      <c r="AB19" s="2629"/>
      <c r="AC19" s="2629"/>
      <c r="AD19" s="2629"/>
      <c r="AE19" s="2629"/>
      <c r="AF19" s="2629"/>
      <c r="AG19" s="2629"/>
      <c r="AH19" s="2629"/>
      <c r="AI19" s="2629"/>
      <c r="AJ19" s="2629"/>
      <c r="AK19" s="2629"/>
      <c r="AL19" s="2629"/>
      <c r="AM19" s="2629"/>
    </row>
    <row r="20" spans="1:40" ht="12.95" customHeight="1">
      <c r="B20" s="2637" t="s">
        <v>510</v>
      </c>
      <c r="C20" s="2638"/>
      <c r="D20" s="2638"/>
      <c r="E20" s="2638"/>
      <c r="F20" s="2638"/>
      <c r="G20" s="2638"/>
      <c r="H20" s="2638"/>
      <c r="I20" s="2638"/>
      <c r="J20" s="2638"/>
      <c r="K20" s="2638"/>
      <c r="L20" s="2638"/>
      <c r="M20" s="2638"/>
      <c r="N20" s="2638"/>
      <c r="O20" s="2638"/>
      <c r="P20" s="2638"/>
      <c r="Q20" s="2638"/>
      <c r="R20" s="2638"/>
      <c r="S20" s="2639"/>
      <c r="T20" s="2630">
        <f>SUM(T13:X19)</f>
        <v>0</v>
      </c>
      <c r="U20" s="2631"/>
      <c r="V20" s="2631"/>
      <c r="W20" s="2631"/>
      <c r="X20" s="2631"/>
      <c r="Y20" s="2630">
        <f>SUM(Y13:AC19)</f>
        <v>0</v>
      </c>
      <c r="Z20" s="2631"/>
      <c r="AA20" s="2631"/>
      <c r="AB20" s="2631"/>
      <c r="AC20" s="2631"/>
      <c r="AD20" s="2632">
        <f>SUM(AD13:AH19)</f>
        <v>0</v>
      </c>
      <c r="AE20" s="2633"/>
      <c r="AF20" s="2633"/>
      <c r="AG20" s="2633"/>
      <c r="AH20" s="2630"/>
      <c r="AI20" s="2632">
        <f>SUM(AI13:AM19)</f>
        <v>0</v>
      </c>
      <c r="AJ20" s="2633"/>
      <c r="AK20" s="2633"/>
      <c r="AL20" s="2633"/>
      <c r="AM20" s="2630"/>
    </row>
    <row r="21" spans="1:40" ht="12.95" customHeight="1">
      <c r="B21" s="2637" t="s">
        <v>1371</v>
      </c>
      <c r="C21" s="2638"/>
      <c r="D21" s="2638"/>
      <c r="E21" s="2638"/>
      <c r="F21" s="2638"/>
      <c r="G21" s="2638"/>
      <c r="H21" s="2638"/>
      <c r="I21" s="2638"/>
      <c r="J21" s="2638"/>
      <c r="K21" s="2638"/>
      <c r="L21" s="2638"/>
      <c r="M21" s="2638"/>
      <c r="N21" s="2638"/>
      <c r="O21" s="2638"/>
      <c r="P21" s="2638"/>
      <c r="Q21" s="2638"/>
      <c r="R21" s="2638"/>
      <c r="S21" s="2639"/>
      <c r="T21" s="2628"/>
      <c r="U21" s="2629"/>
      <c r="V21" s="2629"/>
      <c r="W21" s="2629"/>
      <c r="X21" s="2629"/>
      <c r="Y21" s="2628"/>
      <c r="Z21" s="2629"/>
      <c r="AA21" s="2629"/>
      <c r="AB21" s="2629"/>
      <c r="AC21" s="2629"/>
      <c r="AD21" s="2625"/>
      <c r="AE21" s="2626"/>
      <c r="AF21" s="2626"/>
      <c r="AG21" s="2626"/>
      <c r="AH21" s="2627"/>
      <c r="AI21" s="2625"/>
      <c r="AJ21" s="2626"/>
      <c r="AK21" s="2626"/>
      <c r="AL21" s="2626"/>
      <c r="AM21" s="2627"/>
    </row>
    <row r="22" spans="1:40" ht="12.95" customHeight="1">
      <c r="B22" s="2637" t="s">
        <v>511</v>
      </c>
      <c r="C22" s="2638"/>
      <c r="D22" s="2638"/>
      <c r="E22" s="2638"/>
      <c r="F22" s="2638"/>
      <c r="G22" s="2638"/>
      <c r="H22" s="2638"/>
      <c r="I22" s="2638"/>
      <c r="J22" s="2638"/>
      <c r="K22" s="2638"/>
      <c r="L22" s="2638"/>
      <c r="M22" s="2638"/>
      <c r="N22" s="2638"/>
      <c r="O22" s="2638"/>
      <c r="P22" s="2638"/>
      <c r="Q22" s="2638"/>
      <c r="R22" s="2638"/>
      <c r="S22" s="2639"/>
      <c r="T22" s="2663">
        <f>(ABS(T20)+ABS(T21))*-1</f>
        <v>0</v>
      </c>
      <c r="U22" s="2664"/>
      <c r="V22" s="2664"/>
      <c r="W22" s="2664"/>
      <c r="X22" s="2664"/>
      <c r="Y22" s="2663">
        <f>(Y20+Y21)*-1</f>
        <v>0</v>
      </c>
      <c r="Z22" s="2664"/>
      <c r="AA22" s="2664"/>
      <c r="AB22" s="2664"/>
      <c r="AC22" s="2664"/>
      <c r="AD22" s="2665">
        <f>(AD20)*-1</f>
        <v>0</v>
      </c>
      <c r="AE22" s="2666"/>
      <c r="AF22" s="2666"/>
      <c r="AG22" s="2666"/>
      <c r="AH22" s="2663"/>
      <c r="AI22" s="2665">
        <f>(AI20)*-1</f>
        <v>0</v>
      </c>
      <c r="AJ22" s="2666"/>
      <c r="AK22" s="2666"/>
      <c r="AL22" s="2666"/>
      <c r="AM22" s="2663"/>
    </row>
    <row r="23" spans="1:40" ht="12.95" customHeight="1">
      <c r="B23" s="2637" t="s">
        <v>512</v>
      </c>
      <c r="C23" s="2638"/>
      <c r="D23" s="2638"/>
      <c r="E23" s="2638"/>
      <c r="F23" s="2638"/>
      <c r="G23" s="2638"/>
      <c r="H23" s="2638"/>
      <c r="I23" s="2638"/>
      <c r="J23" s="2638"/>
      <c r="K23" s="2638"/>
      <c r="L23" s="2638"/>
      <c r="M23" s="2638"/>
      <c r="N23" s="2638"/>
      <c r="O23" s="2638"/>
      <c r="P23" s="2638"/>
      <c r="Q23" s="2638"/>
      <c r="R23" s="2638"/>
      <c r="S23" s="2639"/>
      <c r="T23" s="2630">
        <f>T11+T22</f>
        <v>71352217.710673317</v>
      </c>
      <c r="U23" s="2631"/>
      <c r="V23" s="2631"/>
      <c r="W23" s="2631"/>
      <c r="X23" s="2631"/>
      <c r="Y23" s="2630">
        <f>Y11+Y22</f>
        <v>0</v>
      </c>
      <c r="Z23" s="2631"/>
      <c r="AA23" s="2631"/>
      <c r="AB23" s="2631"/>
      <c r="AC23" s="2631"/>
      <c r="AD23" s="2630">
        <f>AD11+AD22</f>
        <v>0</v>
      </c>
      <c r="AE23" s="2631"/>
      <c r="AF23" s="2631"/>
      <c r="AG23" s="2631"/>
      <c r="AH23" s="2631"/>
      <c r="AI23" s="2630">
        <f>AI11+AI22</f>
        <v>0</v>
      </c>
      <c r="AJ23" s="2631"/>
      <c r="AK23" s="2631"/>
      <c r="AL23" s="2631"/>
      <c r="AM23" s="2631"/>
    </row>
    <row r="24" spans="1:40" ht="12.95" customHeight="1">
      <c r="B24" s="2637" t="s">
        <v>978</v>
      </c>
      <c r="C24" s="2638"/>
      <c r="D24" s="2638"/>
      <c r="E24" s="2638"/>
      <c r="F24" s="2638"/>
      <c r="G24" s="2638"/>
      <c r="H24" s="2638"/>
      <c r="I24" s="2638"/>
      <c r="J24" s="2638"/>
      <c r="K24" s="2638"/>
      <c r="L24" s="2638"/>
      <c r="M24" s="2638"/>
      <c r="N24" s="2638"/>
      <c r="O24" s="2638"/>
      <c r="P24" s="2638"/>
      <c r="Q24" s="2638"/>
      <c r="R24" s="2638"/>
      <c r="S24" s="2639"/>
      <c r="T24" s="2632">
        <f>Application!AJ1052</f>
        <v>180108264.59999999</v>
      </c>
      <c r="U24" s="2633"/>
      <c r="V24" s="2633"/>
      <c r="W24" s="2633"/>
      <c r="X24" s="2633"/>
      <c r="Y24" s="2633"/>
      <c r="Z24" s="2633"/>
      <c r="AA24" s="2633"/>
      <c r="AB24" s="2633"/>
      <c r="AC24" s="2633"/>
      <c r="AD24" s="2633"/>
      <c r="AE24" s="2633"/>
      <c r="AF24" s="2633"/>
      <c r="AG24" s="2633"/>
      <c r="AH24" s="2633"/>
      <c r="AI24" s="2633"/>
      <c r="AJ24" s="2633"/>
      <c r="AK24" s="2633"/>
      <c r="AL24" s="2633"/>
      <c r="AM24" s="2630"/>
    </row>
    <row r="25" spans="1:40" ht="12.95" customHeight="1">
      <c r="B25" s="2641" t="s">
        <v>1372</v>
      </c>
      <c r="C25" s="2642"/>
      <c r="D25" s="2642"/>
      <c r="E25" s="2642"/>
      <c r="F25" s="2642"/>
      <c r="G25" s="2642"/>
      <c r="H25" s="2642"/>
      <c r="I25" s="2642"/>
      <c r="J25" s="2642"/>
      <c r="K25" s="2642"/>
      <c r="L25" s="2642"/>
      <c r="M25" s="2642"/>
      <c r="N25" s="2642"/>
      <c r="O25" s="2642"/>
      <c r="P25" s="2642"/>
      <c r="Q25" s="2642"/>
      <c r="R25" s="2642"/>
      <c r="S25" s="2643"/>
      <c r="T25" s="2667">
        <f>IF(OR(Application!T196="yes",Application!T195="yes"),1.3,1)</f>
        <v>1.3</v>
      </c>
      <c r="U25" s="2668"/>
      <c r="V25" s="2668"/>
      <c r="W25" s="2668"/>
      <c r="X25" s="2668"/>
      <c r="Y25" s="2667">
        <v>1</v>
      </c>
      <c r="Z25" s="2668"/>
      <c r="AA25" s="2668"/>
      <c r="AB25" s="2668"/>
      <c r="AC25" s="2668"/>
      <c r="AD25" s="2667">
        <v>1</v>
      </c>
      <c r="AE25" s="2668"/>
      <c r="AF25" s="2668"/>
      <c r="AG25" s="2668"/>
      <c r="AH25" s="2669"/>
      <c r="AI25" s="2667">
        <v>1</v>
      </c>
      <c r="AJ25" s="2668"/>
      <c r="AK25" s="2668"/>
      <c r="AL25" s="2668"/>
      <c r="AM25" s="2669"/>
    </row>
    <row r="26" spans="1:40" ht="12.95" customHeight="1">
      <c r="B26" s="2637" t="s">
        <v>513</v>
      </c>
      <c r="C26" s="2638"/>
      <c r="D26" s="2638"/>
      <c r="E26" s="2638"/>
      <c r="F26" s="2638"/>
      <c r="G26" s="2638"/>
      <c r="H26" s="2638"/>
      <c r="I26" s="2638"/>
      <c r="J26" s="2638"/>
      <c r="K26" s="2638"/>
      <c r="L26" s="2638"/>
      <c r="M26" s="2638"/>
      <c r="N26" s="2638"/>
      <c r="O26" s="2638"/>
      <c r="P26" s="2638"/>
      <c r="Q26" s="2638"/>
      <c r="R26" s="2638"/>
      <c r="S26" s="2639"/>
      <c r="T26" s="2630">
        <f>T23*T25</f>
        <v>92757883.023875311</v>
      </c>
      <c r="U26" s="2631"/>
      <c r="V26" s="2631"/>
      <c r="W26" s="2631"/>
      <c r="X26" s="2631"/>
      <c r="Y26" s="2630">
        <f>Y23*Y25</f>
        <v>0</v>
      </c>
      <c r="Z26" s="2631"/>
      <c r="AA26" s="2631"/>
      <c r="AB26" s="2631"/>
      <c r="AC26" s="2631"/>
      <c r="AD26" s="2630">
        <f>AD23*AD25</f>
        <v>0</v>
      </c>
      <c r="AE26" s="2631"/>
      <c r="AF26" s="2631"/>
      <c r="AG26" s="2631"/>
      <c r="AH26" s="2631"/>
      <c r="AI26" s="2630">
        <f>AI23*AI25</f>
        <v>0</v>
      </c>
      <c r="AJ26" s="2631"/>
      <c r="AK26" s="2631"/>
      <c r="AL26" s="2631"/>
      <c r="AM26" s="2631"/>
    </row>
    <row r="27" spans="1:40" ht="12.95" customHeight="1">
      <c r="A27" s="441"/>
      <c r="B27" s="2644" t="s">
        <v>426</v>
      </c>
      <c r="C27" s="2645"/>
      <c r="D27" s="2645"/>
      <c r="E27" s="2645"/>
      <c r="F27" s="2645"/>
      <c r="G27" s="2645"/>
      <c r="H27" s="2645"/>
      <c r="I27" s="2645"/>
      <c r="J27" s="2645"/>
      <c r="K27" s="2645"/>
      <c r="L27" s="2645"/>
      <c r="M27" s="2645"/>
      <c r="N27" s="2645"/>
      <c r="O27" s="2645"/>
      <c r="P27" s="2645"/>
      <c r="Q27" s="2645"/>
      <c r="R27" s="2645"/>
      <c r="S27" s="2646"/>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37" t="s">
        <v>514</v>
      </c>
      <c r="C28" s="2638"/>
      <c r="D28" s="2638"/>
      <c r="E28" s="2638"/>
      <c r="F28" s="2638"/>
      <c r="G28" s="2638"/>
      <c r="H28" s="2638"/>
      <c r="I28" s="2638"/>
      <c r="J28" s="2638"/>
      <c r="K28" s="2638"/>
      <c r="L28" s="2638"/>
      <c r="M28" s="2638"/>
      <c r="N28" s="2638"/>
      <c r="O28" s="2638"/>
      <c r="P28" s="2638"/>
      <c r="Q28" s="2638"/>
      <c r="R28" s="2638"/>
      <c r="S28" s="2639"/>
      <c r="T28" s="2630">
        <f>IF(ISERROR((T26*T27)),0,(T26*T27))</f>
        <v>92757883.023875311</v>
      </c>
      <c r="U28" s="2631"/>
      <c r="V28" s="2631"/>
      <c r="W28" s="2631"/>
      <c r="X28" s="2631"/>
      <c r="Y28" s="2630">
        <f>IF(ISERROR((Y26*Y27)),0,(Y26*Y27))</f>
        <v>0</v>
      </c>
      <c r="Z28" s="2631"/>
      <c r="AA28" s="2631"/>
      <c r="AB28" s="2631"/>
      <c r="AC28" s="2631"/>
      <c r="AD28" s="2630">
        <f>IF(ISERROR((AD26*AD27)),0,(AD26*AD27))</f>
        <v>0</v>
      </c>
      <c r="AE28" s="2631"/>
      <c r="AF28" s="2631"/>
      <c r="AG28" s="2631"/>
      <c r="AH28" s="2631"/>
      <c r="AI28" s="2630">
        <f>IF(ISERROR((AI26*AI27)),0,(AI26*AI27))</f>
        <v>0</v>
      </c>
      <c r="AJ28" s="2631"/>
      <c r="AK28" s="2631"/>
      <c r="AL28" s="2631"/>
      <c r="AM28" s="2631"/>
    </row>
    <row r="29" spans="1:40" ht="12.95" customHeight="1">
      <c r="B29" s="2637" t="s">
        <v>531</v>
      </c>
      <c r="C29" s="2638"/>
      <c r="D29" s="2638"/>
      <c r="E29" s="2638"/>
      <c r="F29" s="2638"/>
      <c r="G29" s="2638"/>
      <c r="H29" s="2638"/>
      <c r="I29" s="2638"/>
      <c r="J29" s="2638"/>
      <c r="K29" s="2638"/>
      <c r="L29" s="2638"/>
      <c r="M29" s="2638"/>
      <c r="N29" s="2638"/>
      <c r="O29" s="2638"/>
      <c r="P29" s="2638"/>
      <c r="Q29" s="2638"/>
      <c r="R29" s="2638"/>
      <c r="S29" s="2639"/>
      <c r="T29" s="2632">
        <f>T28+Y28+AD28+AI28</f>
        <v>92757883.023875311</v>
      </c>
      <c r="U29" s="2633"/>
      <c r="V29" s="2633"/>
      <c r="W29" s="2633"/>
      <c r="X29" s="2633"/>
      <c r="Y29" s="2633"/>
      <c r="Z29" s="2633"/>
      <c r="AA29" s="2633"/>
      <c r="AB29" s="2633"/>
      <c r="AC29" s="2633"/>
      <c r="AD29" s="2633"/>
      <c r="AE29" s="2633"/>
      <c r="AF29" s="2633"/>
      <c r="AG29" s="2633"/>
      <c r="AH29" s="2633"/>
      <c r="AI29" s="2633"/>
      <c r="AJ29" s="2633"/>
      <c r="AK29" s="2633"/>
      <c r="AL29" s="2633"/>
      <c r="AM29" s="2630"/>
    </row>
    <row r="30" spans="1:40" ht="12.95" customHeight="1">
      <c r="B30" s="2640" t="s">
        <v>1374</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1373</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8" t="s">
        <v>1254</v>
      </c>
      <c r="Z35" s="2658"/>
      <c r="AA35" s="2658"/>
      <c r="AB35" s="2658"/>
      <c r="AC35" s="2658"/>
      <c r="AD35" s="2681" t="s">
        <v>369</v>
      </c>
      <c r="AE35" s="2681"/>
      <c r="AF35" s="2681"/>
      <c r="AG35" s="2681"/>
      <c r="AH35" s="2681"/>
    </row>
    <row r="36" spans="1:76" ht="12.95" customHeight="1">
      <c r="B36" s="438"/>
      <c r="X36" s="443"/>
      <c r="Y36" s="2658"/>
      <c r="Z36" s="2658"/>
      <c r="AA36" s="2658"/>
      <c r="AB36" s="2658"/>
      <c r="AC36" s="2658"/>
      <c r="AD36" s="2681"/>
      <c r="AE36" s="2681"/>
      <c r="AF36" s="2681"/>
      <c r="AG36" s="2681"/>
      <c r="AH36" s="268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8"/>
      <c r="Z37" s="2658"/>
      <c r="AA37" s="2658"/>
      <c r="AB37" s="2658"/>
      <c r="AC37" s="2658"/>
      <c r="AD37" s="2681"/>
      <c r="AE37" s="2681"/>
      <c r="AF37" s="2681"/>
      <c r="AG37" s="2681"/>
      <c r="AH37" s="2681"/>
    </row>
    <row r="38" spans="1:76" ht="12.95" customHeight="1">
      <c r="A38" s="435"/>
      <c r="B38" s="2637" t="s">
        <v>514</v>
      </c>
      <c r="C38" s="2638"/>
      <c r="D38" s="2638"/>
      <c r="E38" s="2638"/>
      <c r="F38" s="2638"/>
      <c r="G38" s="2638"/>
      <c r="H38" s="2638"/>
      <c r="I38" s="2638"/>
      <c r="J38" s="2638"/>
      <c r="K38" s="2638"/>
      <c r="L38" s="2638"/>
      <c r="M38" s="2638"/>
      <c r="N38" s="2638"/>
      <c r="O38" s="2638"/>
      <c r="P38" s="2638"/>
      <c r="Q38" s="2638"/>
      <c r="R38" s="2638"/>
      <c r="S38" s="2638"/>
      <c r="T38" s="2638"/>
      <c r="U38" s="2638"/>
      <c r="V38" s="2638"/>
      <c r="W38" s="2638"/>
      <c r="X38" s="2639"/>
      <c r="Y38" s="2631">
        <f>IF(T24&gt;=(T23+Y23+AD23+AI23),T28+Y28,0)</f>
        <v>92757883.023875311</v>
      </c>
      <c r="Z38" s="2631"/>
      <c r="AA38" s="2631"/>
      <c r="AB38" s="2631"/>
      <c r="AC38" s="2631"/>
      <c r="AD38" s="2631">
        <f>IF(T24&gt;=(T23+Y23+AD23+AI23),AD28+AI28,0)</f>
        <v>0</v>
      </c>
      <c r="AE38" s="2631"/>
      <c r="AF38" s="2631"/>
      <c r="AG38" s="2631"/>
      <c r="AH38" s="2631"/>
    </row>
    <row r="39" spans="1:76" ht="12.95" customHeight="1">
      <c r="B39" s="2637" t="s">
        <v>1875</v>
      </c>
      <c r="C39" s="2638"/>
      <c r="D39" s="2638"/>
      <c r="E39" s="2638"/>
      <c r="F39" s="2638"/>
      <c r="G39" s="2638"/>
      <c r="H39" s="2638"/>
      <c r="I39" s="2638"/>
      <c r="J39" s="2638"/>
      <c r="K39" s="2638"/>
      <c r="L39" s="2638"/>
      <c r="M39" s="2638"/>
      <c r="N39" s="2638"/>
      <c r="O39" s="2638"/>
      <c r="P39" s="2638"/>
      <c r="Q39" s="2638"/>
      <c r="R39" s="2638"/>
      <c r="S39" s="2638"/>
      <c r="T39" s="2638"/>
      <c r="U39" s="2638"/>
      <c r="V39" s="2638"/>
      <c r="W39" s="2638"/>
      <c r="X39" s="2639"/>
      <c r="Y39" s="2682">
        <v>0.04</v>
      </c>
      <c r="Z39" s="2682"/>
      <c r="AA39" s="2682"/>
      <c r="AB39" s="2682"/>
      <c r="AC39" s="2682"/>
      <c r="AD39" s="2682">
        <v>0.04</v>
      </c>
      <c r="AE39" s="2682"/>
      <c r="AF39" s="2682"/>
      <c r="AG39" s="2682"/>
      <c r="AH39" s="2682"/>
    </row>
    <row r="40" spans="1:76" ht="12.95" customHeight="1">
      <c r="A40" s="435"/>
      <c r="B40" s="2637" t="s">
        <v>650</v>
      </c>
      <c r="C40" s="2638"/>
      <c r="D40" s="2638"/>
      <c r="E40" s="2638"/>
      <c r="F40" s="2638"/>
      <c r="G40" s="2638"/>
      <c r="H40" s="2638"/>
      <c r="I40" s="2638"/>
      <c r="J40" s="2638"/>
      <c r="K40" s="2638"/>
      <c r="L40" s="2638"/>
      <c r="M40" s="2638"/>
      <c r="N40" s="2638"/>
      <c r="O40" s="2638"/>
      <c r="P40" s="2638"/>
      <c r="Q40" s="2638"/>
      <c r="R40" s="2638"/>
      <c r="S40" s="2638"/>
      <c r="T40" s="2638"/>
      <c r="U40" s="2638"/>
      <c r="V40" s="2638"/>
      <c r="W40" s="2638"/>
      <c r="X40" s="2639"/>
      <c r="Y40" s="2631">
        <f>ROUND(Y38*Y39,0)</f>
        <v>3710315</v>
      </c>
      <c r="Z40" s="2631"/>
      <c r="AA40" s="2631"/>
      <c r="AB40" s="2631"/>
      <c r="AC40" s="2631"/>
      <c r="AD40" s="2630">
        <f>ROUND(AD38*AD39,0)</f>
        <v>0</v>
      </c>
      <c r="AE40" s="2631"/>
      <c r="AF40" s="2631"/>
      <c r="AG40" s="2631"/>
      <c r="AH40" s="2631"/>
    </row>
    <row r="41" spans="1:76" ht="12.95" customHeight="1">
      <c r="B41" s="2637" t="s">
        <v>651</v>
      </c>
      <c r="C41" s="2638"/>
      <c r="D41" s="2638"/>
      <c r="E41" s="2638"/>
      <c r="F41" s="2638"/>
      <c r="G41" s="2638"/>
      <c r="H41" s="2638"/>
      <c r="I41" s="2638"/>
      <c r="J41" s="2638"/>
      <c r="K41" s="2638"/>
      <c r="L41" s="2638"/>
      <c r="M41" s="2638"/>
      <c r="N41" s="2638"/>
      <c r="O41" s="2638"/>
      <c r="P41" s="2638"/>
      <c r="Q41" s="2638"/>
      <c r="R41" s="2638"/>
      <c r="S41" s="2638"/>
      <c r="T41" s="2638"/>
      <c r="U41" s="2638"/>
      <c r="V41" s="2638"/>
      <c r="W41" s="2638"/>
      <c r="X41" s="2639"/>
      <c r="Y41" s="2632">
        <f>Y40+AD40</f>
        <v>3710315</v>
      </c>
      <c r="Z41" s="2633"/>
      <c r="AA41" s="2633"/>
      <c r="AB41" s="2633"/>
      <c r="AC41" s="2633"/>
      <c r="AD41" s="2633"/>
      <c r="AE41" s="2633"/>
      <c r="AF41" s="2633"/>
      <c r="AG41" s="2633"/>
      <c r="AH41" s="263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1384</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594</v>
      </c>
      <c r="C46" s="435" t="s">
        <v>282</v>
      </c>
    </row>
    <row r="47" spans="1:76" ht="12.95" customHeight="1">
      <c r="D47" s="435" t="s">
        <v>283</v>
      </c>
      <c r="AB47" s="2647">
        <f>'Sources and Uses Budget'!B105-MAX(IF('Sources and Uses Budget'!B15="",0,'Sources and Uses Budget'!B15),IF(Application!AG394="",0,Application!AG394))</f>
        <v>78744594.367705941</v>
      </c>
      <c r="AC47" s="2648"/>
      <c r="AD47" s="2648"/>
      <c r="AE47" s="2648"/>
      <c r="AF47" s="2649"/>
    </row>
    <row r="48" spans="1:76" ht="12.95" customHeight="1">
      <c r="D48" s="435" t="s">
        <v>21</v>
      </c>
      <c r="AB48" s="2647">
        <f>Application!AO639-MAX(IF('Sources and Uses Budget'!B15="",0,'Sources and Uses Budget'!B15),IF(Application!AG394="",0,Application!AG394))</f>
        <v>27774853.867705926</v>
      </c>
      <c r="AC48" s="2648"/>
      <c r="AD48" s="2648"/>
      <c r="AE48" s="2648"/>
      <c r="AF48" s="2649"/>
    </row>
    <row r="49" spans="1:76" ht="12.95" customHeight="1">
      <c r="D49" s="435" t="s">
        <v>91</v>
      </c>
      <c r="AB49" s="2647">
        <f>AB47-AB48</f>
        <v>50969740.500000015</v>
      </c>
      <c r="AC49" s="2648"/>
      <c r="AD49" s="2648"/>
      <c r="AE49" s="2648"/>
      <c r="AF49" s="2649"/>
    </row>
    <row r="50" spans="1:76" ht="12.95" customHeight="1">
      <c r="D50" s="435" t="s">
        <v>689</v>
      </c>
      <c r="AA50" s="446"/>
      <c r="AB50" s="2674">
        <v>0.87</v>
      </c>
      <c r="AC50" s="2675"/>
      <c r="AD50" s="2675"/>
      <c r="AE50" s="2675"/>
      <c r="AF50" s="2676"/>
    </row>
    <row r="51" spans="1:76" s="448" customFormat="1" ht="12.95" customHeight="1">
      <c r="A51" s="433"/>
      <c r="B51" s="433"/>
      <c r="C51" s="433"/>
      <c r="D51" s="433"/>
      <c r="E51" s="2677" t="s">
        <v>2035</v>
      </c>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7"/>
      <c r="F52" s="2677"/>
      <c r="G52" s="2677"/>
      <c r="H52" s="2677"/>
      <c r="I52" s="2677"/>
      <c r="J52" s="2677"/>
      <c r="K52" s="2677"/>
      <c r="L52" s="2677"/>
      <c r="M52" s="2677"/>
      <c r="N52" s="2677"/>
      <c r="O52" s="2677"/>
      <c r="P52" s="2677"/>
      <c r="Q52" s="2677"/>
      <c r="R52" s="2677"/>
      <c r="S52" s="2677"/>
      <c r="T52" s="2677"/>
      <c r="U52" s="2677"/>
      <c r="V52" s="2677"/>
      <c r="W52" s="2677"/>
      <c r="X52" s="2677"/>
      <c r="Y52" s="2677"/>
      <c r="Z52" s="267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7">
        <f>ROUND(IF(ISERROR((AB49/AB50)),0,(AB49/AB50)),0)</f>
        <v>58585909</v>
      </c>
      <c r="AC54" s="2648"/>
      <c r="AD54" s="2648"/>
      <c r="AE54" s="2648"/>
      <c r="AF54" s="2649"/>
    </row>
    <row r="55" spans="1:76" ht="12.95" customHeight="1">
      <c r="D55" s="435" t="s">
        <v>333</v>
      </c>
      <c r="AB55" s="2647">
        <f>(AB54/10)</f>
        <v>5858590.9000000004</v>
      </c>
      <c r="AC55" s="2648"/>
      <c r="AD55" s="2648"/>
      <c r="AE55" s="2648"/>
      <c r="AF55" s="2649"/>
    </row>
    <row r="56" spans="1:76" ht="12.95" customHeight="1">
      <c r="D56" s="435" t="s">
        <v>765</v>
      </c>
      <c r="AB56" s="2678">
        <f>(IF((Y41&lt;AB55),Y41,AB55))</f>
        <v>3710315</v>
      </c>
      <c r="AC56" s="2679"/>
      <c r="AD56" s="2679"/>
      <c r="AE56" s="2679"/>
      <c r="AF56" s="2680"/>
    </row>
    <row r="57" spans="1:76" ht="12.95" customHeight="1">
      <c r="D57" s="435" t="s">
        <v>764</v>
      </c>
      <c r="AB57" s="2647">
        <f>ROUND((10*AB56*AB50),0)</f>
        <v>32279741</v>
      </c>
      <c r="AC57" s="2648"/>
      <c r="AD57" s="2648"/>
      <c r="AE57" s="2648"/>
      <c r="AF57" s="2649"/>
    </row>
    <row r="58" spans="1:76" ht="12.95" customHeight="1">
      <c r="D58" s="435"/>
      <c r="AB58" s="454"/>
      <c r="AC58" s="454"/>
      <c r="AD58" s="454"/>
      <c r="AE58" s="454"/>
      <c r="AF58" s="454"/>
    </row>
    <row r="59" spans="1:76" ht="12.95" customHeight="1">
      <c r="D59" s="435" t="s">
        <v>763</v>
      </c>
      <c r="AB59" s="2670">
        <f>AB49-AB57</f>
        <v>18689999.500000015</v>
      </c>
      <c r="AC59" s="2670"/>
      <c r="AD59" s="2670"/>
      <c r="AE59" s="2670"/>
      <c r="AF59" s="2670"/>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597</v>
      </c>
      <c r="C63" s="219" t="s">
        <v>1355</v>
      </c>
      <c r="Y63" s="2671" t="s">
        <v>1001</v>
      </c>
      <c r="Z63" s="2671"/>
      <c r="AA63" s="2671"/>
      <c r="AB63" s="2671"/>
      <c r="AC63" s="2671"/>
      <c r="AD63" s="2671" t="s">
        <v>369</v>
      </c>
      <c r="AE63" s="2671"/>
      <c r="AF63" s="2671"/>
      <c r="AG63" s="2671"/>
      <c r="AH63" s="2671"/>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32">
        <f>IF(Application!Z205="(select)",0,((T23*T27)+Y28))</f>
        <v>71352217.710673317</v>
      </c>
      <c r="Z64" s="2672"/>
      <c r="AA64" s="2672"/>
      <c r="AB64" s="2672"/>
      <c r="AC64" s="2673"/>
      <c r="AD64" s="2632">
        <f>IF(AND(OR(Application!D211="At-Risk",Application!D211="At-Risk and Special Needs"),Application!M358="yes"),AD28+AI28,0)</f>
        <v>0</v>
      </c>
      <c r="AE64" s="2672"/>
      <c r="AF64" s="2672"/>
      <c r="AG64" s="2672"/>
      <c r="AH64" s="2673"/>
    </row>
    <row r="65" spans="1:36" ht="12.95" customHeight="1">
      <c r="C65" s="435"/>
      <c r="E65" s="1049" t="s">
        <v>2033</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49" t="s">
        <v>2034</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88">
        <f>IF(Application!AP205="yes",0.75,IF(Application!Z204="15% set-aside",0.13,IF(Application!Z204="15% set-aside with qualifying low value rehab",0.95,0.3)))</f>
        <v>0.3</v>
      </c>
      <c r="Z67" s="2688"/>
      <c r="AA67" s="2688"/>
      <c r="AB67" s="2688"/>
      <c r="AC67" s="2688"/>
      <c r="AD67" s="2688">
        <f>IF(Application!Z204="15% set-aside with qualifying low value rehab", 0.95,0.13)</f>
        <v>0.13</v>
      </c>
      <c r="AE67" s="2688"/>
      <c r="AF67" s="2688"/>
      <c r="AG67" s="2688"/>
      <c r="AH67" s="2688"/>
    </row>
    <row r="68" spans="1:36" ht="12.95" customHeight="1">
      <c r="C68" s="435"/>
      <c r="D68" s="219" t="s">
        <v>1357</v>
      </c>
      <c r="Y68" s="2631">
        <f>ROUND(Y64*Y67,0)</f>
        <v>21405665</v>
      </c>
      <c r="Z68" s="2689"/>
      <c r="AA68" s="2689"/>
      <c r="AB68" s="2689"/>
      <c r="AC68" s="2689"/>
      <c r="AD68" s="2631">
        <f>ROUND(AD64*AD67,0)</f>
        <v>0</v>
      </c>
      <c r="AE68" s="2689"/>
      <c r="AF68" s="2689"/>
      <c r="AG68" s="2689"/>
      <c r="AH68" s="2689"/>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1358</v>
      </c>
      <c r="AB71" s="2674">
        <v>0.88999998999999996</v>
      </c>
      <c r="AC71" s="2675"/>
      <c r="AD71" s="2675"/>
      <c r="AE71" s="2675"/>
      <c r="AF71" s="2676"/>
    </row>
    <row r="72" spans="1:36" ht="12.95" customHeight="1">
      <c r="A72" s="435"/>
      <c r="C72" s="435"/>
      <c r="D72" s="435"/>
      <c r="E72" s="2690" t="s">
        <v>1359</v>
      </c>
      <c r="F72" s="2690"/>
      <c r="G72" s="2690"/>
      <c r="H72" s="2690"/>
      <c r="I72" s="2690"/>
      <c r="J72" s="2690"/>
      <c r="K72" s="2690"/>
      <c r="L72" s="2690"/>
      <c r="M72" s="2690"/>
      <c r="N72" s="2690"/>
      <c r="O72" s="2690"/>
      <c r="P72" s="2690"/>
      <c r="Q72" s="2690"/>
      <c r="R72" s="2690"/>
      <c r="S72" s="2690"/>
      <c r="T72" s="2690"/>
      <c r="U72" s="2690"/>
      <c r="V72" s="2690"/>
      <c r="W72" s="2690"/>
      <c r="X72" s="2690"/>
      <c r="Y72" s="2690"/>
      <c r="Z72" s="2690"/>
      <c r="AA72" s="2690"/>
      <c r="AB72" s="471"/>
      <c r="AC72" s="471"/>
    </row>
    <row r="73" spans="1:36" ht="12.95" customHeight="1">
      <c r="A73" s="435"/>
      <c r="C73" s="435"/>
      <c r="D73" s="435"/>
      <c r="E73" s="2690"/>
      <c r="F73" s="2690"/>
      <c r="G73" s="2690"/>
      <c r="H73" s="2690"/>
      <c r="I73" s="2690"/>
      <c r="J73" s="2690"/>
      <c r="K73" s="2690"/>
      <c r="L73" s="2690"/>
      <c r="M73" s="2690"/>
      <c r="N73" s="2690"/>
      <c r="O73" s="2690"/>
      <c r="P73" s="2690"/>
      <c r="Q73" s="2690"/>
      <c r="R73" s="2690"/>
      <c r="S73" s="2690"/>
      <c r="T73" s="2690"/>
      <c r="U73" s="2690"/>
      <c r="V73" s="2690"/>
      <c r="W73" s="2690"/>
      <c r="X73" s="2690"/>
      <c r="Y73" s="2690"/>
      <c r="Z73" s="2690"/>
      <c r="AA73" s="2690"/>
      <c r="AB73" s="471"/>
      <c r="AC73" s="471"/>
    </row>
    <row r="74" spans="1:36" ht="12.95" customHeight="1">
      <c r="A74" s="435"/>
      <c r="C74" s="435"/>
      <c r="D74" s="435"/>
      <c r="E74" s="2690"/>
      <c r="F74" s="2690"/>
      <c r="G74" s="2690"/>
      <c r="H74" s="2690"/>
      <c r="I74" s="2690"/>
      <c r="J74" s="2690"/>
      <c r="K74" s="2690"/>
      <c r="L74" s="2690"/>
      <c r="M74" s="2690"/>
      <c r="N74" s="2690"/>
      <c r="O74" s="2690"/>
      <c r="P74" s="2690"/>
      <c r="Q74" s="2690"/>
      <c r="R74" s="2690"/>
      <c r="S74" s="2690"/>
      <c r="T74" s="2690"/>
      <c r="U74" s="2690"/>
      <c r="V74" s="2690"/>
      <c r="W74" s="2690"/>
      <c r="X74" s="2690"/>
      <c r="Y74" s="2690"/>
      <c r="Z74" s="2690"/>
      <c r="AA74" s="269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83">
        <f>ROUND(IF(ISERROR((AB59/AB71)),0,(AB59/AB71)),0)</f>
        <v>21000000</v>
      </c>
      <c r="AC76" s="2683"/>
      <c r="AD76" s="2683"/>
      <c r="AE76" s="2683"/>
      <c r="AF76" s="2683"/>
    </row>
    <row r="77" spans="1:36" ht="12.95" customHeight="1">
      <c r="C77" s="435"/>
      <c r="D77" s="219" t="s">
        <v>1361</v>
      </c>
      <c r="AB77" s="2684">
        <f>IF((Y68+AD68&lt;AB76),Y68+AD68,AB76)</f>
        <v>21000000</v>
      </c>
      <c r="AC77" s="2685"/>
      <c r="AD77" s="2685"/>
      <c r="AE77" s="2685"/>
      <c r="AF77" s="2686"/>
    </row>
    <row r="78" spans="1:36" ht="12.95" customHeight="1">
      <c r="C78" s="435"/>
      <c r="D78" s="219" t="s">
        <v>1362</v>
      </c>
      <c r="AB78" s="2687">
        <f>AB77*AB71</f>
        <v>18689999.789999999</v>
      </c>
      <c r="AC78" s="2687"/>
      <c r="AD78" s="2687"/>
      <c r="AE78" s="2687"/>
      <c r="AF78" s="2687"/>
    </row>
    <row r="79" spans="1:36" ht="12.95" customHeight="1">
      <c r="C79" s="435"/>
      <c r="D79" s="435"/>
      <c r="AB79" s="456"/>
      <c r="AC79" s="456"/>
      <c r="AD79" s="456"/>
      <c r="AE79" s="456"/>
      <c r="AF79" s="456"/>
    </row>
    <row r="80" spans="1:36" ht="12.95" customHeight="1">
      <c r="D80" s="435" t="s">
        <v>763</v>
      </c>
      <c r="AB80" s="2670">
        <f>AB49-(AB57+AB78)</f>
        <v>-0.28999998420476913</v>
      </c>
      <c r="AC80" s="2670"/>
      <c r="AD80" s="2670"/>
      <c r="AE80" s="2670"/>
      <c r="AF80" s="2670"/>
    </row>
    <row r="81" spans="1:78" ht="12.95" customHeight="1">
      <c r="F81" s="556"/>
      <c r="J81" s="556" t="str">
        <f>IF(AB80&gt;0,"FUNDING GAP MUST NOT EXCEED ZERO","")</f>
        <v/>
      </c>
    </row>
    <row r="82" spans="1:78" ht="12.95" customHeight="1">
      <c r="D82" s="557"/>
    </row>
    <row r="83" spans="1:78" ht="12.95" customHeight="1" thickBot="1">
      <c r="A83" s="2635"/>
      <c r="B83" s="2635"/>
      <c r="C83" s="2635"/>
      <c r="D83" s="2635"/>
      <c r="E83" s="2635"/>
      <c r="F83" s="2635"/>
      <c r="G83" s="2635"/>
      <c r="H83" s="2635"/>
      <c r="I83" s="2635"/>
      <c r="J83" s="2635"/>
      <c r="K83" s="2635"/>
      <c r="L83" s="2635"/>
      <c r="M83" s="2635"/>
      <c r="N83" s="2635"/>
      <c r="O83" s="2635"/>
      <c r="P83" s="2635"/>
      <c r="Q83" s="2635"/>
      <c r="R83" s="2635"/>
      <c r="S83" s="2635"/>
      <c r="T83" s="2635"/>
      <c r="U83" s="2635"/>
      <c r="V83" s="2635"/>
      <c r="W83" s="2635"/>
      <c r="X83" s="2635"/>
      <c r="Y83" s="2635"/>
      <c r="Z83" s="2635"/>
      <c r="AA83" s="2635"/>
      <c r="AB83" s="2635"/>
      <c r="AC83" s="2635"/>
      <c r="AD83" s="2635"/>
      <c r="AE83" s="2635"/>
      <c r="AF83" s="2635"/>
      <c r="AG83" s="2635"/>
      <c r="AH83" s="2635"/>
      <c r="AI83" s="2635"/>
      <c r="AJ83" s="2635"/>
      <c r="AK83" s="2635"/>
      <c r="AL83" s="2635"/>
      <c r="AM83" s="2635"/>
      <c r="AN83" s="2635"/>
      <c r="AO83" s="2635"/>
      <c r="AP83" s="2635"/>
      <c r="AQ83" s="2635"/>
      <c r="AR83" s="2635"/>
      <c r="AS83" s="2635"/>
      <c r="AT83" s="2635"/>
      <c r="AU83" s="2635"/>
      <c r="AV83" s="2635"/>
      <c r="AW83" s="2635"/>
      <c r="AX83" s="2635"/>
      <c r="AY83" s="2635"/>
      <c r="AZ83" s="2635"/>
      <c r="BA83" s="2635"/>
      <c r="BB83" s="2635"/>
      <c r="BC83" s="2635"/>
      <c r="BD83" s="2635"/>
      <c r="BE83" s="2635"/>
      <c r="BF83" s="2635"/>
      <c r="BG83" s="2635"/>
      <c r="BH83" s="2635"/>
      <c r="BI83" s="2635"/>
      <c r="BJ83" s="2635"/>
      <c r="BK83" s="2635"/>
      <c r="BL83" s="2635"/>
      <c r="BM83" s="2635"/>
      <c r="BN83" s="2635"/>
      <c r="BO83" s="2635"/>
      <c r="BP83" s="2635"/>
      <c r="BQ83" s="2635"/>
      <c r="BR83" s="2635"/>
      <c r="BS83" s="2635"/>
      <c r="BT83" s="2635"/>
      <c r="BU83" s="2635"/>
      <c r="BV83" s="2635"/>
      <c r="BW83" s="2635"/>
      <c r="BX83" s="2635"/>
    </row>
    <row r="84" spans="1:78" ht="12.95" customHeight="1" thickTop="1"/>
    <row r="85" spans="1:78" ht="12.95" customHeight="1">
      <c r="A85" s="435"/>
      <c r="C85" s="219"/>
    </row>
    <row r="86" spans="1:78" ht="12.95" customHeight="1">
      <c r="D86" s="219"/>
      <c r="AB86" s="2636"/>
      <c r="AC86" s="2636"/>
      <c r="AD86" s="2636"/>
      <c r="AE86" s="2636"/>
      <c r="AF86" s="2636"/>
    </row>
    <row r="87" spans="1:78" ht="12.95" customHeight="1" thickBot="1">
      <c r="D87" s="219"/>
      <c r="AB87" s="2634"/>
      <c r="AC87" s="2634"/>
      <c r="AD87" s="2634"/>
      <c r="AE87" s="2634"/>
      <c r="AF87" s="263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1" t="s">
        <v>922</v>
      </c>
      <c r="B1" s="2691"/>
      <c r="C1" s="2691"/>
      <c r="D1" s="2691"/>
      <c r="E1" s="2691"/>
      <c r="F1" s="2691"/>
      <c r="G1" s="2691"/>
      <c r="H1" s="2691"/>
      <c r="I1" s="2691"/>
      <c r="J1" s="2691"/>
      <c r="K1" s="218"/>
      <c r="L1" s="218"/>
    </row>
    <row r="2" spans="1:12">
      <c r="A2" s="225"/>
      <c r="B2" s="225"/>
      <c r="C2" s="225"/>
      <c r="D2" s="225"/>
      <c r="E2" s="225"/>
      <c r="F2" s="225"/>
      <c r="G2" s="225"/>
      <c r="H2" s="225"/>
      <c r="I2" s="225"/>
      <c r="J2" s="225"/>
    </row>
    <row r="3" spans="1:12" ht="99.75">
      <c r="A3" s="457" t="s">
        <v>923</v>
      </c>
      <c r="B3" s="457" t="s">
        <v>924</v>
      </c>
      <c r="C3" s="457" t="s">
        <v>2247</v>
      </c>
      <c r="D3" s="1187" t="s">
        <v>925</v>
      </c>
      <c r="E3" s="218"/>
      <c r="F3" s="1187" t="s">
        <v>926</v>
      </c>
      <c r="G3" s="457" t="s">
        <v>927</v>
      </c>
      <c r="H3" s="458"/>
      <c r="I3" s="457" t="s">
        <v>928</v>
      </c>
      <c r="J3" s="457" t="s">
        <v>929</v>
      </c>
      <c r="K3" s="218"/>
      <c r="L3" s="328"/>
    </row>
    <row r="4" spans="1:12">
      <c r="A4" s="459" t="str">
        <f>Application!B718</f>
        <v>1 Bedroom</v>
      </c>
      <c r="B4" s="1118">
        <f>Application!G718</f>
        <v>20</v>
      </c>
      <c r="C4" s="1119"/>
      <c r="D4" s="459">
        <f>Application!O718</f>
        <v>631</v>
      </c>
      <c r="E4" s="460"/>
      <c r="F4" s="1120"/>
      <c r="G4" s="459">
        <f>F4*B4</f>
        <v>0</v>
      </c>
      <c r="H4" s="460"/>
      <c r="I4" s="459" t="str">
        <f t="shared" ref="I4:I27" si="0">IF(F4=0,"",(F4-D4))</f>
        <v/>
      </c>
      <c r="J4" s="459" t="str">
        <f t="shared" ref="J4:J27" si="1">IF(F4=0,"",(I4*B4))</f>
        <v/>
      </c>
      <c r="K4" s="218"/>
      <c r="L4" s="328"/>
    </row>
    <row r="5" spans="1:12">
      <c r="A5" s="459" t="str">
        <f>Application!B719</f>
        <v>1 Bedroom</v>
      </c>
      <c r="B5" s="1118">
        <f>Application!G719</f>
        <v>6</v>
      </c>
      <c r="C5" s="1119"/>
      <c r="D5" s="459">
        <f>Application!O719</f>
        <v>1104</v>
      </c>
      <c r="E5" s="460"/>
      <c r="F5" s="1120"/>
      <c r="G5" s="459">
        <f t="shared" ref="G5:G38" si="2">F5*B5</f>
        <v>0</v>
      </c>
      <c r="H5" s="460"/>
      <c r="I5" s="459" t="str">
        <f t="shared" si="0"/>
        <v/>
      </c>
      <c r="J5" s="459" t="str">
        <f t="shared" si="1"/>
        <v/>
      </c>
      <c r="K5" s="218"/>
      <c r="L5" s="328"/>
    </row>
    <row r="6" spans="1:12">
      <c r="A6" s="459" t="str">
        <f>Application!B720</f>
        <v>1 Bedroom</v>
      </c>
      <c r="B6" s="1118">
        <f>Application!G720</f>
        <v>42</v>
      </c>
      <c r="C6" s="1119"/>
      <c r="D6" s="459">
        <f>Application!O720</f>
        <v>1341</v>
      </c>
      <c r="E6" s="460"/>
      <c r="F6" s="1120"/>
      <c r="G6" s="459">
        <f t="shared" si="2"/>
        <v>0</v>
      </c>
      <c r="H6" s="460"/>
      <c r="I6" s="459" t="str">
        <f t="shared" si="0"/>
        <v/>
      </c>
      <c r="J6" s="459" t="str">
        <f t="shared" si="1"/>
        <v/>
      </c>
      <c r="K6" s="218"/>
      <c r="L6" s="328"/>
    </row>
    <row r="7" spans="1:12">
      <c r="A7" s="459" t="str">
        <f>Application!B721</f>
        <v>1 Bedroom</v>
      </c>
      <c r="B7" s="1118">
        <f>Application!G721</f>
        <v>8</v>
      </c>
      <c r="C7" s="1119"/>
      <c r="D7" s="459">
        <f>Application!O721</f>
        <v>1577</v>
      </c>
      <c r="E7" s="460"/>
      <c r="F7" s="1120"/>
      <c r="G7" s="459">
        <f t="shared" si="2"/>
        <v>0</v>
      </c>
      <c r="H7" s="460"/>
      <c r="I7" s="459" t="str">
        <f t="shared" si="0"/>
        <v/>
      </c>
      <c r="J7" s="459" t="str">
        <f t="shared" si="1"/>
        <v/>
      </c>
      <c r="K7" s="218"/>
      <c r="L7" s="328"/>
    </row>
    <row r="8" spans="1:12">
      <c r="A8" s="459" t="str">
        <f>Application!B722</f>
        <v>2 Bedrooms</v>
      </c>
      <c r="B8" s="1118">
        <f>Application!G722</f>
        <v>10</v>
      </c>
      <c r="C8" s="1119"/>
      <c r="D8" s="459">
        <f>Application!O722</f>
        <v>753</v>
      </c>
      <c r="E8" s="460"/>
      <c r="F8" s="1120"/>
      <c r="G8" s="459">
        <f t="shared" si="2"/>
        <v>0</v>
      </c>
      <c r="H8" s="460"/>
      <c r="I8" s="459" t="str">
        <f t="shared" si="0"/>
        <v/>
      </c>
      <c r="J8" s="459" t="str">
        <f t="shared" si="1"/>
        <v/>
      </c>
      <c r="K8" s="218"/>
      <c r="L8" s="328"/>
    </row>
    <row r="9" spans="1:12">
      <c r="A9" s="459" t="str">
        <f>Application!B723</f>
        <v>2 Bedrooms</v>
      </c>
      <c r="B9" s="1118">
        <f>Application!G723</f>
        <v>3</v>
      </c>
      <c r="C9" s="1119"/>
      <c r="D9" s="459">
        <f>Application!O723</f>
        <v>1320</v>
      </c>
      <c r="E9" s="460"/>
      <c r="F9" s="1120"/>
      <c r="G9" s="459">
        <f t="shared" si="2"/>
        <v>0</v>
      </c>
      <c r="H9" s="460"/>
      <c r="I9" s="459" t="str">
        <f t="shared" si="0"/>
        <v/>
      </c>
      <c r="J9" s="459" t="str">
        <f t="shared" si="1"/>
        <v/>
      </c>
      <c r="K9" s="218"/>
      <c r="L9" s="328"/>
    </row>
    <row r="10" spans="1:12">
      <c r="A10" s="459" t="str">
        <f>Application!B724</f>
        <v>2 Bedrooms</v>
      </c>
      <c r="B10" s="1118">
        <f>Application!G724</f>
        <v>25</v>
      </c>
      <c r="C10" s="1119"/>
      <c r="D10" s="459">
        <f>Application!O724</f>
        <v>1604</v>
      </c>
      <c r="E10" s="460"/>
      <c r="F10" s="1120"/>
      <c r="G10" s="459">
        <f t="shared" si="2"/>
        <v>0</v>
      </c>
      <c r="H10" s="460"/>
      <c r="I10" s="459" t="str">
        <f t="shared" si="0"/>
        <v/>
      </c>
      <c r="J10" s="459" t="str">
        <f t="shared" si="1"/>
        <v/>
      </c>
      <c r="K10" s="218"/>
      <c r="L10" s="328"/>
    </row>
    <row r="11" spans="1:12">
      <c r="A11" s="459" t="str">
        <f>Application!B725</f>
        <v>2 Bedrooms</v>
      </c>
      <c r="B11" s="1118">
        <f>Application!G725</f>
        <v>4</v>
      </c>
      <c r="C11" s="1119"/>
      <c r="D11" s="459">
        <f>Application!O725</f>
        <v>1888</v>
      </c>
      <c r="E11" s="460"/>
      <c r="F11" s="1120"/>
      <c r="G11" s="459">
        <f t="shared" si="2"/>
        <v>0</v>
      </c>
      <c r="H11" s="460"/>
      <c r="I11" s="459" t="str">
        <f t="shared" si="0"/>
        <v/>
      </c>
      <c r="J11" s="459" t="str">
        <f t="shared" si="1"/>
        <v/>
      </c>
      <c r="K11" s="218"/>
      <c r="L11" s="328"/>
    </row>
    <row r="12" spans="1:12">
      <c r="A12" s="459" t="str">
        <f>Application!B726</f>
        <v>3 Bedrooms</v>
      </c>
      <c r="B12" s="1118">
        <f>Application!G726</f>
        <v>10</v>
      </c>
      <c r="C12" s="1119"/>
      <c r="D12" s="459">
        <f>Application!O726</f>
        <v>862</v>
      </c>
      <c r="E12" s="460"/>
      <c r="F12" s="1120"/>
      <c r="G12" s="459">
        <f t="shared" si="2"/>
        <v>0</v>
      </c>
      <c r="H12" s="460"/>
      <c r="I12" s="459" t="str">
        <f t="shared" si="0"/>
        <v/>
      </c>
      <c r="J12" s="459" t="str">
        <f t="shared" si="1"/>
        <v/>
      </c>
      <c r="K12" s="218"/>
      <c r="L12" s="328"/>
    </row>
    <row r="13" spans="1:12">
      <c r="A13" s="459" t="str">
        <f>Application!B727</f>
        <v>3 Bedrooms</v>
      </c>
      <c r="B13" s="1118">
        <f>Application!G727</f>
        <v>3</v>
      </c>
      <c r="C13" s="1119"/>
      <c r="D13" s="459">
        <f>Application!O727</f>
        <v>1518</v>
      </c>
      <c r="E13" s="460"/>
      <c r="F13" s="1120"/>
      <c r="G13" s="459">
        <f t="shared" si="2"/>
        <v>0</v>
      </c>
      <c r="H13" s="460"/>
      <c r="I13" s="459" t="str">
        <f t="shared" si="0"/>
        <v/>
      </c>
      <c r="J13" s="459" t="str">
        <f t="shared" si="1"/>
        <v/>
      </c>
      <c r="K13" s="218"/>
      <c r="L13" s="328"/>
    </row>
    <row r="14" spans="1:12">
      <c r="A14" s="459" t="str">
        <f>Application!B728</f>
        <v>3 Bedrooms</v>
      </c>
      <c r="B14" s="1118">
        <f>Application!G728</f>
        <v>23</v>
      </c>
      <c r="C14" s="1119"/>
      <c r="D14" s="459">
        <f>Application!O728</f>
        <v>1846</v>
      </c>
      <c r="E14" s="460"/>
      <c r="F14" s="1120"/>
      <c r="G14" s="459">
        <f t="shared" si="2"/>
        <v>0</v>
      </c>
      <c r="H14" s="460"/>
      <c r="I14" s="459" t="str">
        <f t="shared" si="0"/>
        <v/>
      </c>
      <c r="J14" s="459" t="str">
        <f t="shared" si="1"/>
        <v/>
      </c>
      <c r="K14" s="218"/>
      <c r="L14" s="328"/>
    </row>
    <row r="15" spans="1:12">
      <c r="A15" s="459" t="str">
        <f>Application!B729</f>
        <v>3 Bedrooms</v>
      </c>
      <c r="B15" s="1118">
        <f>Application!G729</f>
        <v>4</v>
      </c>
      <c r="C15" s="1119"/>
      <c r="D15" s="459">
        <f>Application!O729</f>
        <v>2174</v>
      </c>
      <c r="E15" s="460"/>
      <c r="F15" s="1120"/>
      <c r="G15" s="459">
        <f t="shared" si="2"/>
        <v>0</v>
      </c>
      <c r="H15" s="460"/>
      <c r="I15" s="459" t="str">
        <f t="shared" si="0"/>
        <v/>
      </c>
      <c r="J15" s="459" t="str">
        <f t="shared" si="1"/>
        <v/>
      </c>
      <c r="K15" s="218"/>
      <c r="L15" s="328"/>
    </row>
    <row r="16" spans="1:12">
      <c r="A16" s="459">
        <f>Application!B730</f>
        <v>0</v>
      </c>
      <c r="B16" s="1118">
        <f>Application!G730</f>
        <v>0</v>
      </c>
      <c r="C16" s="1119"/>
      <c r="D16" s="459">
        <f>Application!O730</f>
        <v>0</v>
      </c>
      <c r="E16" s="460"/>
      <c r="F16" s="1120"/>
      <c r="G16" s="459">
        <f t="shared" si="2"/>
        <v>0</v>
      </c>
      <c r="H16" s="460"/>
      <c r="I16" s="459" t="str">
        <f t="shared" si="0"/>
        <v/>
      </c>
      <c r="J16" s="459" t="str">
        <f t="shared" si="1"/>
        <v/>
      </c>
      <c r="K16" s="218"/>
      <c r="L16" s="328"/>
    </row>
    <row r="17" spans="1:12">
      <c r="A17" s="459">
        <f>Application!B731</f>
        <v>0</v>
      </c>
      <c r="B17" s="1118">
        <f>Application!G731</f>
        <v>0</v>
      </c>
      <c r="C17" s="1119"/>
      <c r="D17" s="459">
        <f>Application!O731</f>
        <v>0</v>
      </c>
      <c r="E17" s="460"/>
      <c r="F17" s="1120"/>
      <c r="G17" s="459">
        <f t="shared" si="2"/>
        <v>0</v>
      </c>
      <c r="H17" s="460"/>
      <c r="I17" s="459" t="str">
        <f t="shared" si="0"/>
        <v/>
      </c>
      <c r="J17" s="459" t="str">
        <f t="shared" si="1"/>
        <v/>
      </c>
      <c r="K17" s="218"/>
      <c r="L17" s="328"/>
    </row>
    <row r="18" spans="1:12">
      <c r="A18" s="459">
        <f>Application!B732</f>
        <v>0</v>
      </c>
      <c r="B18" s="1118">
        <f>Application!G732</f>
        <v>0</v>
      </c>
      <c r="C18" s="1119"/>
      <c r="D18" s="459">
        <f>Application!O732</f>
        <v>0</v>
      </c>
      <c r="E18" s="460"/>
      <c r="F18" s="1120"/>
      <c r="G18" s="459">
        <f t="shared" si="2"/>
        <v>0</v>
      </c>
      <c r="H18" s="460"/>
      <c r="I18" s="459" t="str">
        <f t="shared" si="0"/>
        <v/>
      </c>
      <c r="J18" s="459" t="str">
        <f t="shared" si="1"/>
        <v/>
      </c>
      <c r="K18" s="218"/>
      <c r="L18" s="328"/>
    </row>
    <row r="19" spans="1:12">
      <c r="A19" s="459">
        <f>Application!B733</f>
        <v>0</v>
      </c>
      <c r="B19" s="1118">
        <f>Application!G733</f>
        <v>0</v>
      </c>
      <c r="C19" s="1119"/>
      <c r="D19" s="459">
        <f>Application!O733</f>
        <v>0</v>
      </c>
      <c r="E19" s="460"/>
      <c r="F19" s="1120"/>
      <c r="G19" s="459">
        <f t="shared" si="2"/>
        <v>0</v>
      </c>
      <c r="H19" s="460"/>
      <c r="I19" s="459" t="str">
        <f t="shared" si="0"/>
        <v/>
      </c>
      <c r="J19" s="459" t="str">
        <f t="shared" si="1"/>
        <v/>
      </c>
      <c r="K19" s="218"/>
      <c r="L19" s="328"/>
    </row>
    <row r="20" spans="1:12">
      <c r="A20" s="459">
        <f>Application!B734</f>
        <v>0</v>
      </c>
      <c r="B20" s="1118">
        <f>Application!G734</f>
        <v>0</v>
      </c>
      <c r="C20" s="1119"/>
      <c r="D20" s="459">
        <f>Application!O734</f>
        <v>0</v>
      </c>
      <c r="E20" s="460"/>
      <c r="F20" s="1120"/>
      <c r="G20" s="459">
        <f t="shared" si="2"/>
        <v>0</v>
      </c>
      <c r="H20" s="460"/>
      <c r="I20" s="459" t="str">
        <f t="shared" si="0"/>
        <v/>
      </c>
      <c r="J20" s="459" t="str">
        <f t="shared" si="1"/>
        <v/>
      </c>
      <c r="K20" s="218"/>
      <c r="L20" s="328"/>
    </row>
    <row r="21" spans="1:12">
      <c r="A21" s="459">
        <f>Application!B735</f>
        <v>0</v>
      </c>
      <c r="B21" s="1118">
        <f>Application!G735</f>
        <v>0</v>
      </c>
      <c r="C21" s="1119"/>
      <c r="D21" s="459">
        <f>Application!O735</f>
        <v>0</v>
      </c>
      <c r="E21" s="460"/>
      <c r="F21" s="1120"/>
      <c r="G21" s="459">
        <f t="shared" si="2"/>
        <v>0</v>
      </c>
      <c r="H21" s="460"/>
      <c r="I21" s="459" t="str">
        <f t="shared" si="0"/>
        <v/>
      </c>
      <c r="J21" s="459" t="str">
        <f t="shared" si="1"/>
        <v/>
      </c>
      <c r="K21" s="218"/>
      <c r="L21" s="328"/>
    </row>
    <row r="22" spans="1:12">
      <c r="A22" s="459">
        <f>Application!B736</f>
        <v>0</v>
      </c>
      <c r="B22" s="1118">
        <f>Application!G736</f>
        <v>0</v>
      </c>
      <c r="C22" s="1119"/>
      <c r="D22" s="459">
        <f>Application!O736</f>
        <v>0</v>
      </c>
      <c r="E22" s="460"/>
      <c r="F22" s="1120"/>
      <c r="G22" s="459">
        <f t="shared" si="2"/>
        <v>0</v>
      </c>
      <c r="H22" s="460"/>
      <c r="I22" s="459" t="str">
        <f t="shared" si="0"/>
        <v/>
      </c>
      <c r="J22" s="459" t="str">
        <f t="shared" si="1"/>
        <v/>
      </c>
      <c r="K22" s="218"/>
      <c r="L22" s="328"/>
    </row>
    <row r="23" spans="1:12">
      <c r="A23" s="459">
        <f>Application!B737</f>
        <v>0</v>
      </c>
      <c r="B23" s="1118">
        <f>Application!G737</f>
        <v>0</v>
      </c>
      <c r="C23" s="1119"/>
      <c r="D23" s="459">
        <f>Application!O737</f>
        <v>0</v>
      </c>
      <c r="E23" s="460"/>
      <c r="F23" s="1120"/>
      <c r="G23" s="459">
        <f t="shared" si="2"/>
        <v>0</v>
      </c>
      <c r="H23" s="460"/>
      <c r="I23" s="459" t="str">
        <f t="shared" si="0"/>
        <v/>
      </c>
      <c r="J23" s="459" t="str">
        <f t="shared" si="1"/>
        <v/>
      </c>
      <c r="K23" s="218"/>
      <c r="L23" s="328"/>
    </row>
    <row r="24" spans="1:12">
      <c r="A24" s="459">
        <f>Application!B738</f>
        <v>0</v>
      </c>
      <c r="B24" s="1118">
        <f>Application!G738</f>
        <v>0</v>
      </c>
      <c r="C24" s="1119"/>
      <c r="D24" s="459">
        <f>Application!O738</f>
        <v>0</v>
      </c>
      <c r="E24" s="460"/>
      <c r="F24" s="1120"/>
      <c r="G24" s="459">
        <f t="shared" si="2"/>
        <v>0</v>
      </c>
      <c r="H24" s="460"/>
      <c r="I24" s="459" t="str">
        <f t="shared" si="0"/>
        <v/>
      </c>
      <c r="J24" s="459" t="str">
        <f t="shared" si="1"/>
        <v/>
      </c>
      <c r="K24" s="218"/>
      <c r="L24" s="328"/>
    </row>
    <row r="25" spans="1:12">
      <c r="A25" s="459">
        <f>Application!B739</f>
        <v>0</v>
      </c>
      <c r="B25" s="1118">
        <f>Application!G739</f>
        <v>0</v>
      </c>
      <c r="C25" s="1119"/>
      <c r="D25" s="459">
        <f>Application!O739</f>
        <v>0</v>
      </c>
      <c r="E25" s="460"/>
      <c r="F25" s="1120"/>
      <c r="G25" s="459">
        <f t="shared" si="2"/>
        <v>0</v>
      </c>
      <c r="H25" s="460"/>
      <c r="I25" s="459" t="str">
        <f t="shared" si="0"/>
        <v/>
      </c>
      <c r="J25" s="459" t="str">
        <f t="shared" si="1"/>
        <v/>
      </c>
      <c r="K25" s="218"/>
      <c r="L25" s="328"/>
    </row>
    <row r="26" spans="1:12">
      <c r="A26" s="459">
        <f>Application!B740</f>
        <v>0</v>
      </c>
      <c r="B26" s="1118">
        <f>Application!G740</f>
        <v>0</v>
      </c>
      <c r="C26" s="1119"/>
      <c r="D26" s="459">
        <f>Application!O740</f>
        <v>0</v>
      </c>
      <c r="E26" s="460"/>
      <c r="F26" s="1120"/>
      <c r="G26" s="459">
        <f t="shared" si="2"/>
        <v>0</v>
      </c>
      <c r="H26" s="460"/>
      <c r="I26" s="459" t="str">
        <f t="shared" si="0"/>
        <v/>
      </c>
      <c r="J26" s="459" t="str">
        <f t="shared" si="1"/>
        <v/>
      </c>
      <c r="K26" s="218"/>
      <c r="L26" s="328"/>
    </row>
    <row r="27" spans="1:12">
      <c r="A27" s="459">
        <f>Application!B741</f>
        <v>0</v>
      </c>
      <c r="B27" s="1118">
        <f>Application!G741</f>
        <v>0</v>
      </c>
      <c r="C27" s="1119"/>
      <c r="D27" s="459">
        <f>Application!O741</f>
        <v>0</v>
      </c>
      <c r="E27" s="460"/>
      <c r="F27" s="1120"/>
      <c r="G27" s="459">
        <f t="shared" si="2"/>
        <v>0</v>
      </c>
      <c r="H27" s="460"/>
      <c r="I27" s="459" t="str">
        <f t="shared" si="0"/>
        <v/>
      </c>
      <c r="J27" s="459" t="str">
        <f t="shared" si="1"/>
        <v/>
      </c>
      <c r="K27" s="218"/>
      <c r="L27" s="328"/>
    </row>
    <row r="28" spans="1:12">
      <c r="A28" s="459">
        <f>Application!B742</f>
        <v>0</v>
      </c>
      <c r="B28" s="1118">
        <f>Application!G742</f>
        <v>0</v>
      </c>
      <c r="C28" s="1119"/>
      <c r="D28" s="459">
        <f>Application!O742</f>
        <v>0</v>
      </c>
      <c r="E28" s="460"/>
      <c r="F28" s="1120"/>
      <c r="G28" s="459">
        <f t="shared" si="2"/>
        <v>0</v>
      </c>
      <c r="H28" s="460"/>
      <c r="I28" s="459" t="str">
        <f t="shared" ref="I28:I37" si="3">IF(F28=0,"",(F28-D28))</f>
        <v/>
      </c>
      <c r="J28" s="459" t="str">
        <f t="shared" ref="J28:J37" si="4">IF(F28=0,"",(I28*B28))</f>
        <v/>
      </c>
      <c r="K28" s="218"/>
      <c r="L28" s="328"/>
    </row>
    <row r="29" spans="1:12">
      <c r="A29" s="459">
        <f>Application!B743</f>
        <v>0</v>
      </c>
      <c r="B29" s="1118">
        <f>Application!G743</f>
        <v>0</v>
      </c>
      <c r="C29" s="1119"/>
      <c r="D29" s="459">
        <f>Application!O743</f>
        <v>0</v>
      </c>
      <c r="E29" s="460"/>
      <c r="F29" s="1120"/>
      <c r="G29" s="459">
        <f t="shared" si="2"/>
        <v>0</v>
      </c>
      <c r="H29" s="460"/>
      <c r="I29" s="459" t="str">
        <f t="shared" si="3"/>
        <v/>
      </c>
      <c r="J29" s="459" t="str">
        <f t="shared" si="4"/>
        <v/>
      </c>
      <c r="K29" s="218"/>
      <c r="L29" s="328"/>
    </row>
    <row r="30" spans="1:12">
      <c r="A30" s="459">
        <f>Application!B744</f>
        <v>0</v>
      </c>
      <c r="B30" s="1118">
        <f>Application!G744</f>
        <v>0</v>
      </c>
      <c r="C30" s="1119"/>
      <c r="D30" s="459">
        <f>Application!O744</f>
        <v>0</v>
      </c>
      <c r="E30" s="460"/>
      <c r="F30" s="1120"/>
      <c r="G30" s="459">
        <f t="shared" si="2"/>
        <v>0</v>
      </c>
      <c r="H30" s="460"/>
      <c r="I30" s="459" t="str">
        <f t="shared" si="3"/>
        <v/>
      </c>
      <c r="J30" s="459" t="str">
        <f t="shared" si="4"/>
        <v/>
      </c>
      <c r="K30" s="218"/>
      <c r="L30" s="328"/>
    </row>
    <row r="31" spans="1:12">
      <c r="A31" s="459">
        <f>Application!B745</f>
        <v>0</v>
      </c>
      <c r="B31" s="1118">
        <f>Application!G745</f>
        <v>0</v>
      </c>
      <c r="C31" s="1119"/>
      <c r="D31" s="459">
        <f>Application!O745</f>
        <v>0</v>
      </c>
      <c r="E31" s="460"/>
      <c r="F31" s="1120"/>
      <c r="G31" s="459">
        <f t="shared" si="2"/>
        <v>0</v>
      </c>
      <c r="H31" s="460"/>
      <c r="I31" s="459" t="str">
        <f t="shared" si="3"/>
        <v/>
      </c>
      <c r="J31" s="459" t="str">
        <f t="shared" si="4"/>
        <v/>
      </c>
      <c r="K31" s="218"/>
      <c r="L31" s="328"/>
    </row>
    <row r="32" spans="1:12">
      <c r="A32" s="459">
        <f>Application!B746</f>
        <v>0</v>
      </c>
      <c r="B32" s="1118">
        <f>Application!G746</f>
        <v>0</v>
      </c>
      <c r="C32" s="1119"/>
      <c r="D32" s="459">
        <f>Application!O746</f>
        <v>0</v>
      </c>
      <c r="E32" s="460"/>
      <c r="F32" s="1120"/>
      <c r="G32" s="459">
        <f t="shared" si="2"/>
        <v>0</v>
      </c>
      <c r="H32" s="460"/>
      <c r="I32" s="459" t="str">
        <f t="shared" si="3"/>
        <v/>
      </c>
      <c r="J32" s="459" t="str">
        <f t="shared" si="4"/>
        <v/>
      </c>
      <c r="K32" s="218"/>
      <c r="L32" s="328"/>
    </row>
    <row r="33" spans="1:12">
      <c r="A33" s="459">
        <f>Application!B747</f>
        <v>0</v>
      </c>
      <c r="B33" s="1118">
        <f>Application!G747</f>
        <v>0</v>
      </c>
      <c r="C33" s="1119"/>
      <c r="D33" s="459">
        <f>Application!O747</f>
        <v>0</v>
      </c>
      <c r="E33" s="460"/>
      <c r="F33" s="1120"/>
      <c r="G33" s="459">
        <f t="shared" si="2"/>
        <v>0</v>
      </c>
      <c r="H33" s="460"/>
      <c r="I33" s="459" t="str">
        <f t="shared" si="3"/>
        <v/>
      </c>
      <c r="J33" s="459" t="str">
        <f t="shared" si="4"/>
        <v/>
      </c>
      <c r="K33" s="218"/>
      <c r="L33" s="328"/>
    </row>
    <row r="34" spans="1:12">
      <c r="A34" s="459">
        <f>Application!B748</f>
        <v>0</v>
      </c>
      <c r="B34" s="1118">
        <f>Application!G748</f>
        <v>0</v>
      </c>
      <c r="C34" s="1119"/>
      <c r="D34" s="459">
        <f>Application!O748</f>
        <v>0</v>
      </c>
      <c r="E34" s="460"/>
      <c r="F34" s="1120"/>
      <c r="G34" s="459">
        <f t="shared" si="2"/>
        <v>0</v>
      </c>
      <c r="H34" s="460"/>
      <c r="I34" s="459" t="str">
        <f t="shared" si="3"/>
        <v/>
      </c>
      <c r="J34" s="459" t="str">
        <f t="shared" si="4"/>
        <v/>
      </c>
      <c r="K34" s="218"/>
      <c r="L34" s="328"/>
    </row>
    <row r="35" spans="1:12">
      <c r="A35" s="459">
        <f>Application!B749</f>
        <v>0</v>
      </c>
      <c r="B35" s="1118">
        <f>Application!G749</f>
        <v>0</v>
      </c>
      <c r="C35" s="1119"/>
      <c r="D35" s="459">
        <f>Application!O749</f>
        <v>0</v>
      </c>
      <c r="E35" s="460"/>
      <c r="F35" s="1120"/>
      <c r="G35" s="459">
        <f t="shared" si="2"/>
        <v>0</v>
      </c>
      <c r="H35" s="460"/>
      <c r="I35" s="459" t="str">
        <f t="shared" si="3"/>
        <v/>
      </c>
      <c r="J35" s="459" t="str">
        <f t="shared" si="4"/>
        <v/>
      </c>
      <c r="K35" s="218"/>
      <c r="L35" s="328"/>
    </row>
    <row r="36" spans="1:12">
      <c r="A36" s="459">
        <f>Application!B750</f>
        <v>0</v>
      </c>
      <c r="B36" s="1118">
        <f>Application!G750</f>
        <v>0</v>
      </c>
      <c r="C36" s="1119"/>
      <c r="D36" s="459">
        <f>Application!O750</f>
        <v>0</v>
      </c>
      <c r="E36" s="460"/>
      <c r="F36" s="1120"/>
      <c r="G36" s="459">
        <f t="shared" si="2"/>
        <v>0</v>
      </c>
      <c r="H36" s="460"/>
      <c r="I36" s="459" t="str">
        <f t="shared" si="3"/>
        <v/>
      </c>
      <c r="J36" s="459" t="str">
        <f t="shared" si="4"/>
        <v/>
      </c>
      <c r="K36" s="218"/>
      <c r="L36" s="328"/>
    </row>
    <row r="37" spans="1:12">
      <c r="A37" s="459">
        <f>Application!B751</f>
        <v>0</v>
      </c>
      <c r="B37" s="1118">
        <f>Application!G751</f>
        <v>0</v>
      </c>
      <c r="C37" s="1119"/>
      <c r="D37" s="459">
        <f>Application!O751</f>
        <v>0</v>
      </c>
      <c r="E37" s="460"/>
      <c r="F37" s="1120"/>
      <c r="G37" s="459">
        <f t="shared" si="2"/>
        <v>0</v>
      </c>
      <c r="H37" s="460"/>
      <c r="I37" s="459" t="str">
        <f t="shared" si="3"/>
        <v/>
      </c>
      <c r="J37" s="459" t="str">
        <f t="shared" si="4"/>
        <v/>
      </c>
      <c r="K37" s="218"/>
      <c r="L37" s="328"/>
    </row>
    <row r="38" spans="1:12">
      <c r="A38" s="459">
        <f>Application!B752</f>
        <v>0</v>
      </c>
      <c r="B38" s="1118">
        <f>Application!G752</f>
        <v>0</v>
      </c>
      <c r="C38" s="1119"/>
      <c r="D38" s="459">
        <f>Application!O752</f>
        <v>0</v>
      </c>
      <c r="E38" s="460"/>
      <c r="F38" s="1120"/>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930</v>
      </c>
      <c r="B40" s="462"/>
      <c r="C40" s="462"/>
      <c r="D40" s="463">
        <f>Application!O753</f>
        <v>211652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2408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workbookViewId="0">
      <selection activeCell="O62" sqref="O62"/>
    </sheetView>
  </sheetViews>
  <sheetFormatPr defaultColWidth="0" defaultRowHeight="12.75" zeroHeight="1"/>
  <cols>
    <col min="1" max="1" width="3.7109375" customWidth="1"/>
    <col min="2" max="2" width="30.5703125" customWidth="1"/>
    <col min="3" max="3" width="13.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023 1025:2047 2049:3071 3073:4095 4097:5119 5121:6143 6145:7167 7169:8191 8193:9215 9217:10239 10241:11263 11265:12287 12289:13311 13313:14335 14337:15359 15361:16383" ht="18">
      <c r="A1" s="226" t="s">
        <v>2399</v>
      </c>
      <c r="B1" s="226"/>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1023 1025:2047 2049:3071 3073:4095 4097:5119 5121:6143 6145:7167 7169:8191 8193:9215 9217:10239 10241:11263 11265:12287 12289:13311 13313:14335 14337:15359 15361:16383" s="235" customFormat="1" ht="14.25">
      <c r="A4" s="235" t="s">
        <v>848</v>
      </c>
      <c r="C4" s="253">
        <v>1.0249999999999999</v>
      </c>
      <c r="E4" s="235">
        <f>Application!Y801</f>
        <v>2539824</v>
      </c>
      <c r="G4" s="235">
        <f>E4*$C$4</f>
        <v>2603319.5999999996</v>
      </c>
      <c r="I4" s="235">
        <f>G4*$C$4</f>
        <v>2668402.5899999994</v>
      </c>
      <c r="K4" s="235">
        <f>I4*$C$4</f>
        <v>2735112.6547499993</v>
      </c>
      <c r="M4" s="235">
        <f>K4*$C$4</f>
        <v>2803490.4711187491</v>
      </c>
      <c r="O4" s="235">
        <f>M4*$C$4</f>
        <v>2873577.7328967177</v>
      </c>
      <c r="Q4" s="235">
        <f>O4*$C$4</f>
        <v>2945417.1762191355</v>
      </c>
      <c r="S4" s="235">
        <f>Q4*$C$4</f>
        <v>3019052.6056246138</v>
      </c>
      <c r="U4" s="235">
        <f>S4*$C$4</f>
        <v>3094528.920765229</v>
      </c>
      <c r="W4" s="235">
        <f>U4*$C$4</f>
        <v>3171892.1437843596</v>
      </c>
      <c r="Y4" s="235">
        <f>W4*$C$4</f>
        <v>3251189.4473789684</v>
      </c>
      <c r="AA4" s="235">
        <f>Y4*$C$4</f>
        <v>3332469.1835634424</v>
      </c>
      <c r="AC4" s="235">
        <f>AA4*$C$4</f>
        <v>3415780.913152528</v>
      </c>
      <c r="AE4" s="235">
        <f>AC4*$C$4</f>
        <v>3501175.4359813407</v>
      </c>
      <c r="AG4" s="235">
        <f>AE4*$C$4</f>
        <v>3588704.8218808738</v>
      </c>
    </row>
    <row r="5" spans="1:1023 1025:2047 2049:3071 3073:4095 4097:5119 5121:6143 6145:7167 7169:8191 8193:9215 9217:10239 10241:11263 11265:12287 12289:13311 13313:14335 14337:15359 15361:16383" s="225" customFormat="1" ht="14.25">
      <c r="B5" s="225" t="s">
        <v>849</v>
      </c>
      <c r="C5" s="254">
        <f>IF(Application!$D$211="Special Needs",0.1,0.05)</f>
        <v>0.05</v>
      </c>
      <c r="E5" s="237">
        <f>-E4*$C$5</f>
        <v>-126991.20000000001</v>
      </c>
      <c r="F5" s="237"/>
      <c r="G5" s="237">
        <f>-G4*$C$5</f>
        <v>-130165.97999999998</v>
      </c>
      <c r="H5" s="237"/>
      <c r="I5" s="237">
        <f>-I4*$C$5</f>
        <v>-133420.12949999998</v>
      </c>
      <c r="J5" s="237"/>
      <c r="K5" s="237">
        <f>-K4*$C$5</f>
        <v>-136755.63273749998</v>
      </c>
      <c r="L5" s="237"/>
      <c r="M5" s="237">
        <f>-M4*$C$5</f>
        <v>-140174.52355593746</v>
      </c>
      <c r="N5" s="237"/>
      <c r="O5" s="237">
        <f>-O4*$C$5</f>
        <v>-143678.8866448359</v>
      </c>
      <c r="P5" s="237"/>
      <c r="Q5" s="237">
        <f>-Q4*$C$5</f>
        <v>-147270.85881095679</v>
      </c>
      <c r="R5" s="237"/>
      <c r="S5" s="237">
        <f>-S4*$C$5</f>
        <v>-150952.6302812307</v>
      </c>
      <c r="T5" s="237"/>
      <c r="U5" s="237">
        <f>-U4*$C$5</f>
        <v>-154726.44603826146</v>
      </c>
      <c r="V5" s="237"/>
      <c r="W5" s="237">
        <f>-W4*$C$5</f>
        <v>-158594.60718921799</v>
      </c>
      <c r="X5" s="237"/>
      <c r="Y5" s="237">
        <f>-Y4*$C$5</f>
        <v>-162559.47236894842</v>
      </c>
      <c r="Z5" s="237"/>
      <c r="AA5" s="237">
        <f>-AA4*$C$5</f>
        <v>-166623.45917817214</v>
      </c>
      <c r="AB5" s="237"/>
      <c r="AC5" s="237">
        <f>-AC4*$C$5</f>
        <v>-170789.04565762641</v>
      </c>
      <c r="AD5" s="237"/>
      <c r="AE5" s="237">
        <f>-AE4*$C$5</f>
        <v>-175058.77179906704</v>
      </c>
      <c r="AF5" s="237"/>
      <c r="AG5" s="237">
        <f>-AG4*$C$5</f>
        <v>-179435.24109404371</v>
      </c>
    </row>
    <row r="6" spans="1:1023 1025:2047 2049:3071 3073:4095 4097:5119 5121:6143 6145:7167 7169:8191 8193:9215 9217:10239 10241:11263 11265:12287 12289:13311 13313:14335 14337:15359 15361:16383"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1023 1025:2047 2049:3071 3073:4095 4097:5119 5121:6143 6145:7167 7169:8191 8193:9215 9217:10239 10241:11263 11265:12287 12289:13311 13313:14335 14337:15359 15361:16383"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1023 1025:2047 2049:3071 3073:4095 4097:5119 5121:6143 6145:7167 7169:8191 8193:9215 9217:10239 10241:11263 11265:12287 12289:13311 13313:14335 14337:15359 15361:16383" s="225" customFormat="1" ht="14.25">
      <c r="A8" s="225" t="s">
        <v>288</v>
      </c>
      <c r="C8" s="253">
        <v>1.0249999999999999</v>
      </c>
      <c r="E8" s="238">
        <f>Application!Z817</f>
        <v>46978.10526315801</v>
      </c>
      <c r="F8" s="238"/>
      <c r="G8" s="238">
        <f>E8*$C$8</f>
        <v>48152.557894736958</v>
      </c>
      <c r="H8" s="238"/>
      <c r="I8" s="238">
        <f>G8*$C$8</f>
        <v>49356.371842105378</v>
      </c>
      <c r="J8" s="238"/>
      <c r="K8" s="238">
        <f>I8*$C$8</f>
        <v>50590.28113815801</v>
      </c>
      <c r="L8" s="238"/>
      <c r="M8" s="238">
        <f>K8*$C$8</f>
        <v>51855.038166611957</v>
      </c>
      <c r="N8" s="238"/>
      <c r="O8" s="238">
        <f>M8*$C$8</f>
        <v>53151.414120777248</v>
      </c>
      <c r="P8" s="238"/>
      <c r="Q8" s="238">
        <f>O8*$C$8</f>
        <v>54480.199473796674</v>
      </c>
      <c r="R8" s="238"/>
      <c r="S8" s="238">
        <f>Q8*$C$8</f>
        <v>55842.204460641588</v>
      </c>
      <c r="T8" s="238"/>
      <c r="U8" s="238">
        <f>S8*$C$8</f>
        <v>57238.259572157622</v>
      </c>
      <c r="V8" s="238"/>
      <c r="W8" s="238">
        <f>U8*$C$8</f>
        <v>58669.216061461557</v>
      </c>
      <c r="X8" s="238"/>
      <c r="Y8" s="238">
        <f>W8*$C$8</f>
        <v>60135.946462998094</v>
      </c>
      <c r="Z8" s="238"/>
      <c r="AA8" s="238">
        <f>Y8*$C$8</f>
        <v>61639.345124573039</v>
      </c>
      <c r="AB8" s="238"/>
      <c r="AC8" s="238">
        <f>AA8*$C$8</f>
        <v>63180.328752687361</v>
      </c>
      <c r="AD8" s="238"/>
      <c r="AE8" s="238">
        <f>AC8*$C$8</f>
        <v>64759.836971504541</v>
      </c>
      <c r="AF8" s="238"/>
      <c r="AG8" s="238">
        <f>AE8*$C$8</f>
        <v>66378.832895792148</v>
      </c>
    </row>
    <row r="9" spans="1:1023 1025:2047 2049:3071 3073:4095 4097:5119 5121:6143 6145:7167 7169:8191 8193:9215 9217:10239 10241:11263 11265:12287 12289:13311 13313:14335 14337:15359 15361:16383" s="225" customFormat="1" ht="14.25">
      <c r="B9" s="225" t="s">
        <v>849</v>
      </c>
      <c r="C9" s="254">
        <f>IF(Application!$D$211="Special Needs",0.1,0.05)</f>
        <v>0.05</v>
      </c>
      <c r="E9" s="237">
        <f>-E8*$C$9</f>
        <v>-2348.9052631579007</v>
      </c>
      <c r="F9" s="237"/>
      <c r="G9" s="237">
        <f>-G8*$C$9</f>
        <v>-2407.6278947368478</v>
      </c>
      <c r="H9" s="237"/>
      <c r="I9" s="237">
        <f>-I8*$C$9</f>
        <v>-2467.8185921052691</v>
      </c>
      <c r="J9" s="237"/>
      <c r="K9" s="237">
        <f>-K8*$C$9</f>
        <v>-2529.5140569079008</v>
      </c>
      <c r="L9" s="237"/>
      <c r="M9" s="237">
        <f>-M8*$C$9</f>
        <v>-2592.7519083305979</v>
      </c>
      <c r="N9" s="237"/>
      <c r="O9" s="237">
        <f>-O8*$C$9</f>
        <v>-2657.5707060388627</v>
      </c>
      <c r="P9" s="237"/>
      <c r="Q9" s="237">
        <f>-Q8*$C$9</f>
        <v>-2724.0099736898337</v>
      </c>
      <c r="R9" s="237"/>
      <c r="S9" s="237">
        <f>-S8*$C$9</f>
        <v>-2792.1102230320794</v>
      </c>
      <c r="T9" s="237"/>
      <c r="U9" s="237">
        <f>-U8*$C$9</f>
        <v>-2861.9129786078811</v>
      </c>
      <c r="V9" s="237"/>
      <c r="W9" s="237">
        <f>-W8*$C$9</f>
        <v>-2933.4608030730778</v>
      </c>
      <c r="X9" s="237"/>
      <c r="Y9" s="237">
        <f>-Y8*$C$9</f>
        <v>-3006.797323149905</v>
      </c>
      <c r="Z9" s="237"/>
      <c r="AA9" s="237">
        <f>-AA8*$C$9</f>
        <v>-3081.9672562286523</v>
      </c>
      <c r="AB9" s="237"/>
      <c r="AC9" s="237">
        <f>-AC8*$C$9</f>
        <v>-3159.0164376343682</v>
      </c>
      <c r="AD9" s="237"/>
      <c r="AE9" s="237">
        <f>-AE8*$C$9</f>
        <v>-3237.9918485752273</v>
      </c>
      <c r="AF9" s="237"/>
      <c r="AG9" s="237">
        <f>-AG8*$C$9</f>
        <v>-3318.9416447896074</v>
      </c>
    </row>
    <row r="10" spans="1:1023 1025:2047 2049:3071 3073:4095 4097:5119 5121:6143 6145:7167 7169:8191 8193:9215 9217:10239 10241:11263 11265:12287 12289:13311 13313:14335 14337:15359 15361:16383" s="225" customFormat="1" ht="14.25">
      <c r="A10" s="1184" t="s">
        <v>2621</v>
      </c>
      <c r="B10" s="1184"/>
      <c r="C10" s="254"/>
      <c r="E10" s="1185"/>
      <c r="F10" s="238"/>
      <c r="G10" s="1185"/>
      <c r="H10" s="238"/>
      <c r="I10" s="1185"/>
      <c r="J10" s="238"/>
      <c r="K10" s="1185"/>
      <c r="L10" s="238"/>
      <c r="M10" s="1185"/>
      <c r="N10" s="238"/>
      <c r="O10" s="1185"/>
      <c r="P10" s="238"/>
      <c r="Q10" s="1185"/>
      <c r="R10" s="238"/>
      <c r="S10" s="1185"/>
      <c r="T10" s="238"/>
      <c r="U10" s="1185"/>
      <c r="V10" s="238"/>
      <c r="W10" s="1185"/>
      <c r="X10" s="238"/>
      <c r="Y10" s="1185"/>
      <c r="Z10" s="238"/>
      <c r="AA10" s="1185"/>
      <c r="AB10" s="238"/>
      <c r="AC10" s="1185"/>
      <c r="AD10" s="238"/>
      <c r="AE10" s="1185"/>
      <c r="AF10" s="238"/>
      <c r="AG10" s="1185"/>
    </row>
    <row r="11" spans="1:1023 1025:2047 2049:3071 3073:4095 4097:5119 5121:6143 6145:7167 7169:8191 8193:9215 9217:10239 10241:11263 11265:12287 12289:13311 13313:14335 14337:15359 15361:16383" s="239" customFormat="1" ht="15">
      <c r="A11" s="239" t="s">
        <v>868</v>
      </c>
      <c r="C11" s="231"/>
      <c r="E11" s="239">
        <f>SUM(E4:E10)</f>
        <v>2457462</v>
      </c>
      <c r="G11" s="239">
        <f>SUM(G4:G10)</f>
        <v>2518898.5499999998</v>
      </c>
      <c r="I11" s="239">
        <f>SUM(I4:I10)</f>
        <v>2581871.0137499999</v>
      </c>
      <c r="K11" s="239">
        <f>SUM(K4:K10)</f>
        <v>2646417.7890937491</v>
      </c>
      <c r="M11" s="239">
        <f>SUM(M4:M10)</f>
        <v>2712578.2338210931</v>
      </c>
      <c r="O11" s="239">
        <f>SUM(O4:O10)</f>
        <v>2780392.68966662</v>
      </c>
      <c r="Q11" s="239">
        <f>SUM(Q4:Q10)</f>
        <v>2849902.5069082859</v>
      </c>
      <c r="S11" s="239">
        <f>SUM(S4:S10)</f>
        <v>2921150.0695809922</v>
      </c>
      <c r="U11" s="239">
        <f>SUM(U4:U10)</f>
        <v>2994178.8213205175</v>
      </c>
      <c r="W11" s="239">
        <f>SUM(W4:W10)</f>
        <v>3069033.2918535303</v>
      </c>
      <c r="Y11" s="239">
        <f>SUM(Y4:Y10)</f>
        <v>3145759.1241498678</v>
      </c>
      <c r="AA11" s="239">
        <f>SUM(AA4:AA10)</f>
        <v>3224403.1022536149</v>
      </c>
      <c r="AC11" s="239">
        <f>SUM(AC4:AC10)</f>
        <v>3305013.1798099545</v>
      </c>
      <c r="AE11" s="239">
        <f>SUM(AE4:AE10)</f>
        <v>3387638.5093052029</v>
      </c>
      <c r="AG11" s="239">
        <f>SUM(AG4:AG10)</f>
        <v>3472329.4720378323</v>
      </c>
    </row>
    <row r="12" spans="1:1023 1025:2047 2049:3071 3073:4095 4097:5119 5121:6143 6145:7167 7169:8191 8193:9215 9217:10239 10241:11263 11265:12287 12289:13311 13313:14335 14337:15359 15361:16383">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1023 1025:2047 2049:3071 3073:4095 4097:5119 5121:6143 6145:7167 7169:8191 8193:9215 9217:10239 10241:11263 11265:12287 12289:13311 13313:14335 14337:15359 15361:16383"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1023 1025:2047 2049:3071 3073:4095 4097:5119 5121:6143 6145:7167 7169:8191 8193:9215 9217:10239 10241:11263 11265:12287 12289:13311 13313:14335 14337:15359 15361:16383"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1023 1025:2047 2049:3071 3073:4095 4097:5119 5121:6143 6145:7167 7169:8191 8193:9215 9217:10239 10241:11263 11265:12287 12289:13311 13313:14335 14337:15359 15361:16383" s="235" customFormat="1" ht="14.25">
      <c r="A15" s="235" t="s">
        <v>852</v>
      </c>
      <c r="C15" s="185"/>
      <c r="E15" s="235">
        <f>Application!W847</f>
        <v>79060</v>
      </c>
      <c r="G15" s="235">
        <f>E15*$C$14</f>
        <v>81827.099999999991</v>
      </c>
      <c r="I15" s="235">
        <f>G15*$C$14</f>
        <v>84691.04849999999</v>
      </c>
      <c r="K15" s="235">
        <f>I15*$C$14</f>
        <v>87655.235197499976</v>
      </c>
      <c r="M15" s="235">
        <f>K15*$C$14</f>
        <v>90723.168429412472</v>
      </c>
      <c r="O15" s="235">
        <f>M15*$C$14</f>
        <v>93898.479324441898</v>
      </c>
      <c r="Q15" s="235">
        <f>O15*$C$14</f>
        <v>97184.926100797355</v>
      </c>
      <c r="S15" s="235">
        <f>Q15*$C$14</f>
        <v>100586.39851432525</v>
      </c>
      <c r="U15" s="235">
        <f>S15*$C$14</f>
        <v>104106.92246232662</v>
      </c>
      <c r="W15" s="235">
        <f>U15*$C$14</f>
        <v>107750.66474850805</v>
      </c>
      <c r="Y15" s="235">
        <f>W15*$C$14</f>
        <v>111521.93801470583</v>
      </c>
      <c r="AA15" s="235">
        <f>Y15*$C$14</f>
        <v>115425.20584522052</v>
      </c>
      <c r="AC15" s="235">
        <f>AA15*$C$14</f>
        <v>119465.08804980323</v>
      </c>
      <c r="AE15" s="235">
        <f>AC15*$C$14</f>
        <v>123646.36613154634</v>
      </c>
      <c r="AG15" s="235">
        <f>AE15*$C$14</f>
        <v>127973.98894615045</v>
      </c>
    </row>
    <row r="16" spans="1:1023 1025:2047 2049:3071 3073:4095 4097:5119 5121:6143 6145:7167 7169:8191 8193:9215 9217:10239 10241:11263 11265:12287 12289:13311 13313:14335 14337:15359 15361:16383" s="238" customFormat="1" ht="14.25">
      <c r="A16" s="225" t="s">
        <v>344</v>
      </c>
      <c r="B16" s="225"/>
      <c r="C16" s="249"/>
      <c r="D16" s="225"/>
      <c r="E16" s="238">
        <f>Application!W849</f>
        <v>104442.13500000001</v>
      </c>
      <c r="G16" s="238">
        <f>G11*0.0425</f>
        <v>107053.188375</v>
      </c>
      <c r="I16" s="238">
        <f t="shared" ref="I16" si="0">I11*0.0425</f>
        <v>109729.518084375</v>
      </c>
      <c r="K16" s="238">
        <f t="shared" ref="K16" si="1">K11*0.0425</f>
        <v>112472.75603648435</v>
      </c>
      <c r="M16" s="238">
        <f t="shared" ref="M16" si="2">M11*0.0425</f>
        <v>115284.57493739646</v>
      </c>
      <c r="O16" s="238">
        <f t="shared" ref="O16" si="3">O11*0.0425</f>
        <v>118166.68931083135</v>
      </c>
      <c r="Q16" s="238">
        <f t="shared" ref="Q16" si="4">Q11*0.0425</f>
        <v>121120.85654360216</v>
      </c>
      <c r="S16" s="238">
        <f t="shared" ref="S16" si="5">S11*0.0425</f>
        <v>124148.87795719218</v>
      </c>
      <c r="U16" s="238">
        <f t="shared" ref="U16" si="6">U11*0.0425</f>
        <v>127252.59990612201</v>
      </c>
      <c r="W16" s="238">
        <f t="shared" ref="W16" si="7">W11*0.0425</f>
        <v>130433.91490377505</v>
      </c>
      <c r="Y16" s="238">
        <f t="shared" ref="Y16" si="8">Y11*0.0425</f>
        <v>133694.7627763694</v>
      </c>
      <c r="AA16" s="238">
        <f t="shared" ref="AA16" si="9">AA11*0.0425</f>
        <v>137037.13184577864</v>
      </c>
      <c r="AC16" s="238">
        <f t="shared" ref="AC16" si="10">AC11*0.0425</f>
        <v>140463.06014192308</v>
      </c>
      <c r="AE16" s="238">
        <f t="shared" ref="AE16" si="11">AE11*0.0425</f>
        <v>143974.63664547112</v>
      </c>
      <c r="AG16" s="238">
        <f t="shared" ref="AG16" si="12">AG11*0.0425</f>
        <v>147574.00256160789</v>
      </c>
      <c r="AI16" s="238">
        <f t="shared" ref="AI16" si="13">AI11*0.0425</f>
        <v>0</v>
      </c>
      <c r="AK16" s="238">
        <f t="shared" ref="AK16" si="14">AK11*0.0425</f>
        <v>0</v>
      </c>
      <c r="AM16" s="238">
        <f t="shared" ref="AM16" si="15">AM11*0.0425</f>
        <v>0</v>
      </c>
      <c r="AO16" s="238">
        <f t="shared" ref="AO16" si="16">AO11*0.0425</f>
        <v>0</v>
      </c>
      <c r="AQ16" s="238">
        <f t="shared" ref="AQ16" si="17">AQ11*0.0425</f>
        <v>0</v>
      </c>
      <c r="AS16" s="238">
        <f t="shared" ref="AS16" si="18">AS11*0.0425</f>
        <v>0</v>
      </c>
      <c r="AU16" s="238">
        <f t="shared" ref="AU16" si="19">AU11*0.0425</f>
        <v>0</v>
      </c>
      <c r="AW16" s="238">
        <f t="shared" ref="AW16" si="20">AW11*0.0425</f>
        <v>0</v>
      </c>
      <c r="AY16" s="238">
        <f t="shared" ref="AY16" si="21">AY11*0.0425</f>
        <v>0</v>
      </c>
      <c r="BA16" s="238">
        <f t="shared" ref="BA16" si="22">BA11*0.0425</f>
        <v>0</v>
      </c>
      <c r="BC16" s="238">
        <f t="shared" ref="BC16" si="23">BC11*0.0425</f>
        <v>0</v>
      </c>
      <c r="BE16" s="238">
        <f t="shared" ref="BE16" si="24">BE11*0.0425</f>
        <v>0</v>
      </c>
      <c r="BG16" s="238">
        <f t="shared" ref="BG16" si="25">BG11*0.0425</f>
        <v>0</v>
      </c>
      <c r="BI16" s="238">
        <f t="shared" ref="BI16" si="26">BI11*0.0425</f>
        <v>0</v>
      </c>
      <c r="BK16" s="238">
        <f t="shared" ref="BK16" si="27">BK11*0.0425</f>
        <v>0</v>
      </c>
      <c r="BM16" s="238">
        <f t="shared" ref="BM16" si="28">BM11*0.0425</f>
        <v>0</v>
      </c>
      <c r="BO16" s="238">
        <f t="shared" ref="BO16" si="29">BO11*0.0425</f>
        <v>0</v>
      </c>
      <c r="BQ16" s="238">
        <f t="shared" ref="BQ16" si="30">BQ11*0.0425</f>
        <v>0</v>
      </c>
      <c r="BS16" s="238">
        <f t="shared" ref="BS16" si="31">BS11*0.0425</f>
        <v>0</v>
      </c>
      <c r="BU16" s="238">
        <f t="shared" ref="BU16" si="32">BU11*0.0425</f>
        <v>0</v>
      </c>
      <c r="BW16" s="238">
        <f t="shared" ref="BW16" si="33">BW11*0.0425</f>
        <v>0</v>
      </c>
      <c r="BY16" s="238">
        <f t="shared" ref="BY16" si="34">BY11*0.0425</f>
        <v>0</v>
      </c>
      <c r="CA16" s="238">
        <f t="shared" ref="CA16" si="35">CA11*0.0425</f>
        <v>0</v>
      </c>
      <c r="CC16" s="238">
        <f t="shared" ref="CC16" si="36">CC11*0.0425</f>
        <v>0</v>
      </c>
      <c r="CE16" s="238">
        <f t="shared" ref="CE16" si="37">CE11*0.0425</f>
        <v>0</v>
      </c>
      <c r="CG16" s="238">
        <f t="shared" ref="CG16" si="38">CG11*0.0425</f>
        <v>0</v>
      </c>
      <c r="CI16" s="238">
        <f t="shared" ref="CI16" si="39">CI11*0.0425</f>
        <v>0</v>
      </c>
      <c r="CK16" s="238">
        <f t="shared" ref="CK16" si="40">CK11*0.0425</f>
        <v>0</v>
      </c>
      <c r="CM16" s="238">
        <f t="shared" ref="CM16" si="41">CM11*0.0425</f>
        <v>0</v>
      </c>
      <c r="CO16" s="238">
        <f t="shared" ref="CO16" si="42">CO11*0.0425</f>
        <v>0</v>
      </c>
      <c r="CQ16" s="238">
        <f t="shared" ref="CQ16" si="43">CQ11*0.0425</f>
        <v>0</v>
      </c>
      <c r="CS16" s="238">
        <f t="shared" ref="CS16" si="44">CS11*0.0425</f>
        <v>0</v>
      </c>
      <c r="CU16" s="238">
        <f t="shared" ref="CU16" si="45">CU11*0.0425</f>
        <v>0</v>
      </c>
      <c r="CW16" s="238">
        <f t="shared" ref="CW16" si="46">CW11*0.0425</f>
        <v>0</v>
      </c>
      <c r="CY16" s="238">
        <f t="shared" ref="CY16" si="47">CY11*0.0425</f>
        <v>0</v>
      </c>
      <c r="DA16" s="238">
        <f t="shared" ref="DA16" si="48">DA11*0.0425</f>
        <v>0</v>
      </c>
      <c r="DC16" s="238">
        <f t="shared" ref="DC16" si="49">DC11*0.0425</f>
        <v>0</v>
      </c>
      <c r="DE16" s="238">
        <f t="shared" ref="DE16" si="50">DE11*0.0425</f>
        <v>0</v>
      </c>
      <c r="DG16" s="238">
        <f t="shared" ref="DG16" si="51">DG11*0.0425</f>
        <v>0</v>
      </c>
      <c r="DI16" s="238">
        <f t="shared" ref="DI16" si="52">DI11*0.0425</f>
        <v>0</v>
      </c>
      <c r="DK16" s="238">
        <f t="shared" ref="DK16" si="53">DK11*0.0425</f>
        <v>0</v>
      </c>
      <c r="DM16" s="238">
        <f t="shared" ref="DM16" si="54">DM11*0.0425</f>
        <v>0</v>
      </c>
      <c r="DO16" s="238">
        <f t="shared" ref="DO16" si="55">DO11*0.0425</f>
        <v>0</v>
      </c>
      <c r="DQ16" s="238">
        <f t="shared" ref="DQ16" si="56">DQ11*0.0425</f>
        <v>0</v>
      </c>
      <c r="DS16" s="238">
        <f t="shared" ref="DS16" si="57">DS11*0.0425</f>
        <v>0</v>
      </c>
      <c r="DU16" s="238">
        <f t="shared" ref="DU16" si="58">DU11*0.0425</f>
        <v>0</v>
      </c>
      <c r="DW16" s="238">
        <f t="shared" ref="DW16" si="59">DW11*0.0425</f>
        <v>0</v>
      </c>
      <c r="DY16" s="238">
        <f t="shared" ref="DY16" si="60">DY11*0.0425</f>
        <v>0</v>
      </c>
      <c r="EA16" s="238">
        <f t="shared" ref="EA16" si="61">EA11*0.0425</f>
        <v>0</v>
      </c>
      <c r="EC16" s="238">
        <f t="shared" ref="EC16" si="62">EC11*0.0425</f>
        <v>0</v>
      </c>
      <c r="EE16" s="238">
        <f t="shared" ref="EE16" si="63">EE11*0.0425</f>
        <v>0</v>
      </c>
      <c r="EG16" s="238">
        <f t="shared" ref="EG16" si="64">EG11*0.0425</f>
        <v>0</v>
      </c>
      <c r="EI16" s="238">
        <f t="shared" ref="EI16" si="65">EI11*0.0425</f>
        <v>0</v>
      </c>
      <c r="EK16" s="238">
        <f t="shared" ref="EK16" si="66">EK11*0.0425</f>
        <v>0</v>
      </c>
      <c r="EM16" s="238">
        <f t="shared" ref="EM16" si="67">EM11*0.0425</f>
        <v>0</v>
      </c>
      <c r="EO16" s="238">
        <f t="shared" ref="EO16" si="68">EO11*0.0425</f>
        <v>0</v>
      </c>
      <c r="EQ16" s="238">
        <f t="shared" ref="EQ16" si="69">EQ11*0.0425</f>
        <v>0</v>
      </c>
      <c r="ES16" s="238">
        <f t="shared" ref="ES16" si="70">ES11*0.0425</f>
        <v>0</v>
      </c>
      <c r="EU16" s="238">
        <f t="shared" ref="EU16" si="71">EU11*0.0425</f>
        <v>0</v>
      </c>
      <c r="EW16" s="238">
        <f t="shared" ref="EW16" si="72">EW11*0.0425</f>
        <v>0</v>
      </c>
      <c r="EY16" s="238">
        <f t="shared" ref="EY16" si="73">EY11*0.0425</f>
        <v>0</v>
      </c>
      <c r="FA16" s="238">
        <f t="shared" ref="FA16" si="74">FA11*0.0425</f>
        <v>0</v>
      </c>
      <c r="FC16" s="238">
        <f t="shared" ref="FC16" si="75">FC11*0.0425</f>
        <v>0</v>
      </c>
      <c r="FE16" s="238">
        <f t="shared" ref="FE16" si="76">FE11*0.0425</f>
        <v>0</v>
      </c>
      <c r="FG16" s="238">
        <f t="shared" ref="FG16" si="77">FG11*0.0425</f>
        <v>0</v>
      </c>
      <c r="FI16" s="238">
        <f t="shared" ref="FI16" si="78">FI11*0.0425</f>
        <v>0</v>
      </c>
      <c r="FK16" s="238">
        <f t="shared" ref="FK16" si="79">FK11*0.0425</f>
        <v>0</v>
      </c>
      <c r="FM16" s="238">
        <f t="shared" ref="FM16" si="80">FM11*0.0425</f>
        <v>0</v>
      </c>
      <c r="FO16" s="238">
        <f t="shared" ref="FO16" si="81">FO11*0.0425</f>
        <v>0</v>
      </c>
      <c r="FQ16" s="238">
        <f t="shared" ref="FQ16" si="82">FQ11*0.0425</f>
        <v>0</v>
      </c>
      <c r="FS16" s="238">
        <f t="shared" ref="FS16" si="83">FS11*0.0425</f>
        <v>0</v>
      </c>
      <c r="FU16" s="238">
        <f t="shared" ref="FU16" si="84">FU11*0.0425</f>
        <v>0</v>
      </c>
      <c r="FW16" s="238">
        <f t="shared" ref="FW16" si="85">FW11*0.0425</f>
        <v>0</v>
      </c>
      <c r="FY16" s="238">
        <f t="shared" ref="FY16" si="86">FY11*0.0425</f>
        <v>0</v>
      </c>
      <c r="GA16" s="238">
        <f t="shared" ref="GA16" si="87">GA11*0.0425</f>
        <v>0</v>
      </c>
      <c r="GC16" s="238">
        <f t="shared" ref="GC16" si="88">GC11*0.0425</f>
        <v>0</v>
      </c>
      <c r="GE16" s="238">
        <f t="shared" ref="GE16" si="89">GE11*0.0425</f>
        <v>0</v>
      </c>
      <c r="GG16" s="238">
        <f t="shared" ref="GG16" si="90">GG11*0.0425</f>
        <v>0</v>
      </c>
      <c r="GI16" s="238">
        <f t="shared" ref="GI16" si="91">GI11*0.0425</f>
        <v>0</v>
      </c>
      <c r="GK16" s="238">
        <f t="shared" ref="GK16" si="92">GK11*0.0425</f>
        <v>0</v>
      </c>
      <c r="GM16" s="238">
        <f t="shared" ref="GM16" si="93">GM11*0.0425</f>
        <v>0</v>
      </c>
      <c r="GO16" s="238">
        <f t="shared" ref="GO16" si="94">GO11*0.0425</f>
        <v>0</v>
      </c>
      <c r="GQ16" s="238">
        <f t="shared" ref="GQ16" si="95">GQ11*0.0425</f>
        <v>0</v>
      </c>
      <c r="GS16" s="238">
        <f t="shared" ref="GS16" si="96">GS11*0.0425</f>
        <v>0</v>
      </c>
      <c r="GU16" s="238">
        <f t="shared" ref="GU16" si="97">GU11*0.0425</f>
        <v>0</v>
      </c>
      <c r="GW16" s="238">
        <f t="shared" ref="GW16" si="98">GW11*0.0425</f>
        <v>0</v>
      </c>
      <c r="GY16" s="238">
        <f t="shared" ref="GY16" si="99">GY11*0.0425</f>
        <v>0</v>
      </c>
      <c r="HA16" s="238">
        <f t="shared" ref="HA16" si="100">HA11*0.0425</f>
        <v>0</v>
      </c>
      <c r="HC16" s="238">
        <f t="shared" ref="HC16" si="101">HC11*0.0425</f>
        <v>0</v>
      </c>
      <c r="HE16" s="238">
        <f t="shared" ref="HE16" si="102">HE11*0.0425</f>
        <v>0</v>
      </c>
      <c r="HG16" s="238">
        <f t="shared" ref="HG16" si="103">HG11*0.0425</f>
        <v>0</v>
      </c>
      <c r="HI16" s="238">
        <f t="shared" ref="HI16" si="104">HI11*0.0425</f>
        <v>0</v>
      </c>
      <c r="HK16" s="238">
        <f t="shared" ref="HK16" si="105">HK11*0.0425</f>
        <v>0</v>
      </c>
      <c r="HM16" s="238">
        <f t="shared" ref="HM16" si="106">HM11*0.0425</f>
        <v>0</v>
      </c>
      <c r="HO16" s="238">
        <f t="shared" ref="HO16" si="107">HO11*0.0425</f>
        <v>0</v>
      </c>
      <c r="HQ16" s="238">
        <f t="shared" ref="HQ16" si="108">HQ11*0.0425</f>
        <v>0</v>
      </c>
      <c r="HS16" s="238">
        <f t="shared" ref="HS16" si="109">HS11*0.0425</f>
        <v>0</v>
      </c>
      <c r="HU16" s="238">
        <f t="shared" ref="HU16" si="110">HU11*0.0425</f>
        <v>0</v>
      </c>
      <c r="HW16" s="238">
        <f t="shared" ref="HW16" si="111">HW11*0.0425</f>
        <v>0</v>
      </c>
      <c r="HY16" s="238">
        <f t="shared" ref="HY16" si="112">HY11*0.0425</f>
        <v>0</v>
      </c>
      <c r="IA16" s="238">
        <f t="shared" ref="IA16" si="113">IA11*0.0425</f>
        <v>0</v>
      </c>
      <c r="IC16" s="238">
        <f t="shared" ref="IC16" si="114">IC11*0.0425</f>
        <v>0</v>
      </c>
      <c r="IE16" s="238">
        <f t="shared" ref="IE16" si="115">IE11*0.0425</f>
        <v>0</v>
      </c>
      <c r="IG16" s="238">
        <f t="shared" ref="IG16" si="116">IG11*0.0425</f>
        <v>0</v>
      </c>
      <c r="II16" s="238">
        <f t="shared" ref="II16" si="117">II11*0.0425</f>
        <v>0</v>
      </c>
      <c r="IK16" s="238">
        <f t="shared" ref="IK16" si="118">IK11*0.0425</f>
        <v>0</v>
      </c>
      <c r="IM16" s="238">
        <f t="shared" ref="IM16" si="119">IM11*0.0425</f>
        <v>0</v>
      </c>
      <c r="IO16" s="238">
        <f t="shared" ref="IO16" si="120">IO11*0.0425</f>
        <v>0</v>
      </c>
      <c r="IQ16" s="238">
        <f t="shared" ref="IQ16" si="121">IQ11*0.0425</f>
        <v>0</v>
      </c>
      <c r="IS16" s="238">
        <f t="shared" ref="IS16" si="122">IS11*0.0425</f>
        <v>0</v>
      </c>
      <c r="IU16" s="238">
        <f t="shared" ref="IU16" si="123">IU11*0.0425</f>
        <v>0</v>
      </c>
      <c r="IW16" s="238">
        <f t="shared" ref="IW16" si="124">IW11*0.0425</f>
        <v>0</v>
      </c>
      <c r="IY16" s="238">
        <f t="shared" ref="IY16" si="125">IY11*0.0425</f>
        <v>0</v>
      </c>
      <c r="JA16" s="238">
        <f t="shared" ref="JA16" si="126">JA11*0.0425</f>
        <v>0</v>
      </c>
      <c r="JC16" s="238">
        <f t="shared" ref="JC16" si="127">JC11*0.0425</f>
        <v>0</v>
      </c>
      <c r="JE16" s="238">
        <f t="shared" ref="JE16" si="128">JE11*0.0425</f>
        <v>0</v>
      </c>
      <c r="JG16" s="238">
        <f t="shared" ref="JG16" si="129">JG11*0.0425</f>
        <v>0</v>
      </c>
      <c r="JI16" s="238">
        <f t="shared" ref="JI16" si="130">JI11*0.0425</f>
        <v>0</v>
      </c>
      <c r="JK16" s="238">
        <f t="shared" ref="JK16" si="131">JK11*0.0425</f>
        <v>0</v>
      </c>
      <c r="JM16" s="238">
        <f t="shared" ref="JM16" si="132">JM11*0.0425</f>
        <v>0</v>
      </c>
      <c r="JO16" s="238">
        <f t="shared" ref="JO16" si="133">JO11*0.0425</f>
        <v>0</v>
      </c>
      <c r="JQ16" s="238">
        <f t="shared" ref="JQ16" si="134">JQ11*0.0425</f>
        <v>0</v>
      </c>
      <c r="JS16" s="238">
        <f t="shared" ref="JS16" si="135">JS11*0.0425</f>
        <v>0</v>
      </c>
      <c r="JU16" s="238">
        <f t="shared" ref="JU16" si="136">JU11*0.0425</f>
        <v>0</v>
      </c>
      <c r="JW16" s="238">
        <f t="shared" ref="JW16" si="137">JW11*0.0425</f>
        <v>0</v>
      </c>
      <c r="JY16" s="238">
        <f t="shared" ref="JY16" si="138">JY11*0.0425</f>
        <v>0</v>
      </c>
      <c r="KA16" s="238">
        <f t="shared" ref="KA16" si="139">KA11*0.0425</f>
        <v>0</v>
      </c>
      <c r="KC16" s="238">
        <f t="shared" ref="KC16" si="140">KC11*0.0425</f>
        <v>0</v>
      </c>
      <c r="KE16" s="238">
        <f t="shared" ref="KE16" si="141">KE11*0.0425</f>
        <v>0</v>
      </c>
      <c r="KG16" s="238">
        <f t="shared" ref="KG16" si="142">KG11*0.0425</f>
        <v>0</v>
      </c>
      <c r="KI16" s="238">
        <f t="shared" ref="KI16" si="143">KI11*0.0425</f>
        <v>0</v>
      </c>
      <c r="KK16" s="238">
        <f t="shared" ref="KK16" si="144">KK11*0.0425</f>
        <v>0</v>
      </c>
      <c r="KM16" s="238">
        <f t="shared" ref="KM16" si="145">KM11*0.0425</f>
        <v>0</v>
      </c>
      <c r="KO16" s="238">
        <f t="shared" ref="KO16" si="146">KO11*0.0425</f>
        <v>0</v>
      </c>
      <c r="KQ16" s="238">
        <f t="shared" ref="KQ16" si="147">KQ11*0.0425</f>
        <v>0</v>
      </c>
      <c r="KS16" s="238">
        <f t="shared" ref="KS16" si="148">KS11*0.0425</f>
        <v>0</v>
      </c>
      <c r="KU16" s="238">
        <f t="shared" ref="KU16" si="149">KU11*0.0425</f>
        <v>0</v>
      </c>
      <c r="KW16" s="238">
        <f t="shared" ref="KW16" si="150">KW11*0.0425</f>
        <v>0</v>
      </c>
      <c r="KY16" s="238">
        <f t="shared" ref="KY16" si="151">KY11*0.0425</f>
        <v>0</v>
      </c>
      <c r="LA16" s="238">
        <f t="shared" ref="LA16" si="152">LA11*0.0425</f>
        <v>0</v>
      </c>
      <c r="LC16" s="238">
        <f t="shared" ref="LC16" si="153">LC11*0.0425</f>
        <v>0</v>
      </c>
      <c r="LE16" s="238">
        <f t="shared" ref="LE16" si="154">LE11*0.0425</f>
        <v>0</v>
      </c>
      <c r="LG16" s="238">
        <f t="shared" ref="LG16" si="155">LG11*0.0425</f>
        <v>0</v>
      </c>
      <c r="LI16" s="238">
        <f t="shared" ref="LI16" si="156">LI11*0.0425</f>
        <v>0</v>
      </c>
      <c r="LK16" s="238">
        <f t="shared" ref="LK16" si="157">LK11*0.0425</f>
        <v>0</v>
      </c>
      <c r="LM16" s="238">
        <f t="shared" ref="LM16" si="158">LM11*0.0425</f>
        <v>0</v>
      </c>
      <c r="LO16" s="238">
        <f t="shared" ref="LO16" si="159">LO11*0.0425</f>
        <v>0</v>
      </c>
      <c r="LQ16" s="238">
        <f t="shared" ref="LQ16" si="160">LQ11*0.0425</f>
        <v>0</v>
      </c>
      <c r="LS16" s="238">
        <f t="shared" ref="LS16" si="161">LS11*0.0425</f>
        <v>0</v>
      </c>
      <c r="LU16" s="238">
        <f t="shared" ref="LU16" si="162">LU11*0.0425</f>
        <v>0</v>
      </c>
      <c r="LW16" s="238">
        <f t="shared" ref="LW16" si="163">LW11*0.0425</f>
        <v>0</v>
      </c>
      <c r="LY16" s="238">
        <f t="shared" ref="LY16" si="164">LY11*0.0425</f>
        <v>0</v>
      </c>
      <c r="MA16" s="238">
        <f t="shared" ref="MA16" si="165">MA11*0.0425</f>
        <v>0</v>
      </c>
      <c r="MC16" s="238">
        <f t="shared" ref="MC16" si="166">MC11*0.0425</f>
        <v>0</v>
      </c>
      <c r="ME16" s="238">
        <f t="shared" ref="ME16" si="167">ME11*0.0425</f>
        <v>0</v>
      </c>
      <c r="MG16" s="238">
        <f t="shared" ref="MG16" si="168">MG11*0.0425</f>
        <v>0</v>
      </c>
      <c r="MI16" s="238">
        <f t="shared" ref="MI16" si="169">MI11*0.0425</f>
        <v>0</v>
      </c>
      <c r="MK16" s="238">
        <f t="shared" ref="MK16" si="170">MK11*0.0425</f>
        <v>0</v>
      </c>
      <c r="MM16" s="238">
        <f t="shared" ref="MM16" si="171">MM11*0.0425</f>
        <v>0</v>
      </c>
      <c r="MO16" s="238">
        <f t="shared" ref="MO16" si="172">MO11*0.0425</f>
        <v>0</v>
      </c>
      <c r="MQ16" s="238">
        <f t="shared" ref="MQ16" si="173">MQ11*0.0425</f>
        <v>0</v>
      </c>
      <c r="MS16" s="238">
        <f t="shared" ref="MS16" si="174">MS11*0.0425</f>
        <v>0</v>
      </c>
      <c r="MU16" s="238">
        <f t="shared" ref="MU16" si="175">MU11*0.0425</f>
        <v>0</v>
      </c>
      <c r="MW16" s="238">
        <f t="shared" ref="MW16" si="176">MW11*0.0425</f>
        <v>0</v>
      </c>
      <c r="MY16" s="238">
        <f t="shared" ref="MY16" si="177">MY11*0.0425</f>
        <v>0</v>
      </c>
      <c r="NA16" s="238">
        <f t="shared" ref="NA16" si="178">NA11*0.0425</f>
        <v>0</v>
      </c>
      <c r="NC16" s="238">
        <f t="shared" ref="NC16" si="179">NC11*0.0425</f>
        <v>0</v>
      </c>
      <c r="NE16" s="238">
        <f t="shared" ref="NE16" si="180">NE11*0.0425</f>
        <v>0</v>
      </c>
      <c r="NG16" s="238">
        <f t="shared" ref="NG16" si="181">NG11*0.0425</f>
        <v>0</v>
      </c>
      <c r="NI16" s="238">
        <f t="shared" ref="NI16" si="182">NI11*0.0425</f>
        <v>0</v>
      </c>
      <c r="NK16" s="238">
        <f t="shared" ref="NK16" si="183">NK11*0.0425</f>
        <v>0</v>
      </c>
      <c r="NM16" s="238">
        <f t="shared" ref="NM16" si="184">NM11*0.0425</f>
        <v>0</v>
      </c>
      <c r="NO16" s="238">
        <f t="shared" ref="NO16" si="185">NO11*0.0425</f>
        <v>0</v>
      </c>
      <c r="NQ16" s="238">
        <f t="shared" ref="NQ16" si="186">NQ11*0.0425</f>
        <v>0</v>
      </c>
      <c r="NS16" s="238">
        <f t="shared" ref="NS16" si="187">NS11*0.0425</f>
        <v>0</v>
      </c>
      <c r="NU16" s="238">
        <f t="shared" ref="NU16" si="188">NU11*0.0425</f>
        <v>0</v>
      </c>
      <c r="NW16" s="238">
        <f t="shared" ref="NW16" si="189">NW11*0.0425</f>
        <v>0</v>
      </c>
      <c r="NY16" s="238">
        <f t="shared" ref="NY16" si="190">NY11*0.0425</f>
        <v>0</v>
      </c>
      <c r="OA16" s="238">
        <f t="shared" ref="OA16" si="191">OA11*0.0425</f>
        <v>0</v>
      </c>
      <c r="OC16" s="238">
        <f t="shared" ref="OC16" si="192">OC11*0.0425</f>
        <v>0</v>
      </c>
      <c r="OE16" s="238">
        <f t="shared" ref="OE16" si="193">OE11*0.0425</f>
        <v>0</v>
      </c>
      <c r="OG16" s="238">
        <f t="shared" ref="OG16" si="194">OG11*0.0425</f>
        <v>0</v>
      </c>
      <c r="OI16" s="238">
        <f t="shared" ref="OI16" si="195">OI11*0.0425</f>
        <v>0</v>
      </c>
      <c r="OK16" s="238">
        <f t="shared" ref="OK16" si="196">OK11*0.0425</f>
        <v>0</v>
      </c>
      <c r="OM16" s="238">
        <f t="shared" ref="OM16" si="197">OM11*0.0425</f>
        <v>0</v>
      </c>
      <c r="OO16" s="238">
        <f t="shared" ref="OO16" si="198">OO11*0.0425</f>
        <v>0</v>
      </c>
      <c r="OQ16" s="238">
        <f t="shared" ref="OQ16" si="199">OQ11*0.0425</f>
        <v>0</v>
      </c>
      <c r="OS16" s="238">
        <f t="shared" ref="OS16" si="200">OS11*0.0425</f>
        <v>0</v>
      </c>
      <c r="OU16" s="238">
        <f t="shared" ref="OU16" si="201">OU11*0.0425</f>
        <v>0</v>
      </c>
      <c r="OW16" s="238">
        <f t="shared" ref="OW16" si="202">OW11*0.0425</f>
        <v>0</v>
      </c>
      <c r="OY16" s="238">
        <f t="shared" ref="OY16" si="203">OY11*0.0425</f>
        <v>0</v>
      </c>
      <c r="PA16" s="238">
        <f t="shared" ref="PA16" si="204">PA11*0.0425</f>
        <v>0</v>
      </c>
      <c r="PC16" s="238">
        <f t="shared" ref="PC16" si="205">PC11*0.0425</f>
        <v>0</v>
      </c>
      <c r="PE16" s="238">
        <f t="shared" ref="PE16" si="206">PE11*0.0425</f>
        <v>0</v>
      </c>
      <c r="PG16" s="238">
        <f t="shared" ref="PG16" si="207">PG11*0.0425</f>
        <v>0</v>
      </c>
      <c r="PI16" s="238">
        <f t="shared" ref="PI16" si="208">PI11*0.0425</f>
        <v>0</v>
      </c>
      <c r="PK16" s="238">
        <f t="shared" ref="PK16" si="209">PK11*0.0425</f>
        <v>0</v>
      </c>
      <c r="PM16" s="238">
        <f t="shared" ref="PM16" si="210">PM11*0.0425</f>
        <v>0</v>
      </c>
      <c r="PO16" s="238">
        <f t="shared" ref="PO16" si="211">PO11*0.0425</f>
        <v>0</v>
      </c>
      <c r="PQ16" s="238">
        <f t="shared" ref="PQ16" si="212">PQ11*0.0425</f>
        <v>0</v>
      </c>
      <c r="PS16" s="238">
        <f t="shared" ref="PS16" si="213">PS11*0.0425</f>
        <v>0</v>
      </c>
      <c r="PU16" s="238">
        <f t="shared" ref="PU16" si="214">PU11*0.0425</f>
        <v>0</v>
      </c>
      <c r="PW16" s="238">
        <f t="shared" ref="PW16" si="215">PW11*0.0425</f>
        <v>0</v>
      </c>
      <c r="PY16" s="238">
        <f t="shared" ref="PY16" si="216">PY11*0.0425</f>
        <v>0</v>
      </c>
      <c r="QA16" s="238">
        <f t="shared" ref="QA16" si="217">QA11*0.0425</f>
        <v>0</v>
      </c>
      <c r="QC16" s="238">
        <f t="shared" ref="QC16" si="218">QC11*0.0425</f>
        <v>0</v>
      </c>
      <c r="QE16" s="238">
        <f t="shared" ref="QE16" si="219">QE11*0.0425</f>
        <v>0</v>
      </c>
      <c r="QG16" s="238">
        <f t="shared" ref="QG16" si="220">QG11*0.0425</f>
        <v>0</v>
      </c>
      <c r="QI16" s="238">
        <f t="shared" ref="QI16" si="221">QI11*0.0425</f>
        <v>0</v>
      </c>
      <c r="QK16" s="238">
        <f t="shared" ref="QK16" si="222">QK11*0.0425</f>
        <v>0</v>
      </c>
      <c r="QM16" s="238">
        <f t="shared" ref="QM16" si="223">QM11*0.0425</f>
        <v>0</v>
      </c>
      <c r="QO16" s="238">
        <f t="shared" ref="QO16" si="224">QO11*0.0425</f>
        <v>0</v>
      </c>
      <c r="QQ16" s="238">
        <f t="shared" ref="QQ16" si="225">QQ11*0.0425</f>
        <v>0</v>
      </c>
      <c r="QS16" s="238">
        <f t="shared" ref="QS16" si="226">QS11*0.0425</f>
        <v>0</v>
      </c>
      <c r="QU16" s="238">
        <f t="shared" ref="QU16" si="227">QU11*0.0425</f>
        <v>0</v>
      </c>
      <c r="QW16" s="238">
        <f t="shared" ref="QW16" si="228">QW11*0.0425</f>
        <v>0</v>
      </c>
      <c r="QY16" s="238">
        <f t="shared" ref="QY16" si="229">QY11*0.0425</f>
        <v>0</v>
      </c>
      <c r="RA16" s="238">
        <f t="shared" ref="RA16" si="230">RA11*0.0425</f>
        <v>0</v>
      </c>
      <c r="RC16" s="238">
        <f t="shared" ref="RC16" si="231">RC11*0.0425</f>
        <v>0</v>
      </c>
      <c r="RE16" s="238">
        <f t="shared" ref="RE16" si="232">RE11*0.0425</f>
        <v>0</v>
      </c>
      <c r="RG16" s="238">
        <f t="shared" ref="RG16" si="233">RG11*0.0425</f>
        <v>0</v>
      </c>
      <c r="RI16" s="238">
        <f t="shared" ref="RI16" si="234">RI11*0.0425</f>
        <v>0</v>
      </c>
      <c r="RK16" s="238">
        <f t="shared" ref="RK16" si="235">RK11*0.0425</f>
        <v>0</v>
      </c>
      <c r="RM16" s="238">
        <f t="shared" ref="RM16" si="236">RM11*0.0425</f>
        <v>0</v>
      </c>
      <c r="RO16" s="238">
        <f t="shared" ref="RO16" si="237">RO11*0.0425</f>
        <v>0</v>
      </c>
      <c r="RQ16" s="238">
        <f t="shared" ref="RQ16" si="238">RQ11*0.0425</f>
        <v>0</v>
      </c>
      <c r="RS16" s="238">
        <f t="shared" ref="RS16" si="239">RS11*0.0425</f>
        <v>0</v>
      </c>
      <c r="RU16" s="238">
        <f t="shared" ref="RU16" si="240">RU11*0.0425</f>
        <v>0</v>
      </c>
      <c r="RW16" s="238">
        <f t="shared" ref="RW16" si="241">RW11*0.0425</f>
        <v>0</v>
      </c>
      <c r="RY16" s="238">
        <f t="shared" ref="RY16" si="242">RY11*0.0425</f>
        <v>0</v>
      </c>
      <c r="SA16" s="238">
        <f t="shared" ref="SA16" si="243">SA11*0.0425</f>
        <v>0</v>
      </c>
      <c r="SC16" s="238">
        <f t="shared" ref="SC16" si="244">SC11*0.0425</f>
        <v>0</v>
      </c>
      <c r="SE16" s="238">
        <f t="shared" ref="SE16" si="245">SE11*0.0425</f>
        <v>0</v>
      </c>
      <c r="SG16" s="238">
        <f t="shared" ref="SG16" si="246">SG11*0.0425</f>
        <v>0</v>
      </c>
      <c r="SI16" s="238">
        <f t="shared" ref="SI16" si="247">SI11*0.0425</f>
        <v>0</v>
      </c>
      <c r="SK16" s="238">
        <f t="shared" ref="SK16" si="248">SK11*0.0425</f>
        <v>0</v>
      </c>
      <c r="SM16" s="238">
        <f t="shared" ref="SM16" si="249">SM11*0.0425</f>
        <v>0</v>
      </c>
      <c r="SO16" s="238">
        <f t="shared" ref="SO16" si="250">SO11*0.0425</f>
        <v>0</v>
      </c>
      <c r="SQ16" s="238">
        <f t="shared" ref="SQ16" si="251">SQ11*0.0425</f>
        <v>0</v>
      </c>
      <c r="SS16" s="238">
        <f t="shared" ref="SS16" si="252">SS11*0.0425</f>
        <v>0</v>
      </c>
      <c r="SU16" s="238">
        <f t="shared" ref="SU16" si="253">SU11*0.0425</f>
        <v>0</v>
      </c>
      <c r="SW16" s="238">
        <f t="shared" ref="SW16" si="254">SW11*0.0425</f>
        <v>0</v>
      </c>
      <c r="SY16" s="238">
        <f t="shared" ref="SY16" si="255">SY11*0.0425</f>
        <v>0</v>
      </c>
      <c r="TA16" s="238">
        <f t="shared" ref="TA16" si="256">TA11*0.0425</f>
        <v>0</v>
      </c>
      <c r="TC16" s="238">
        <f t="shared" ref="TC16" si="257">TC11*0.0425</f>
        <v>0</v>
      </c>
      <c r="TE16" s="238">
        <f t="shared" ref="TE16" si="258">TE11*0.0425</f>
        <v>0</v>
      </c>
      <c r="TG16" s="238">
        <f t="shared" ref="TG16" si="259">TG11*0.0425</f>
        <v>0</v>
      </c>
      <c r="TI16" s="238">
        <f t="shared" ref="TI16" si="260">TI11*0.0425</f>
        <v>0</v>
      </c>
      <c r="TK16" s="238">
        <f t="shared" ref="TK16" si="261">TK11*0.0425</f>
        <v>0</v>
      </c>
      <c r="TM16" s="238">
        <f t="shared" ref="TM16" si="262">TM11*0.0425</f>
        <v>0</v>
      </c>
      <c r="TO16" s="238">
        <f t="shared" ref="TO16" si="263">TO11*0.0425</f>
        <v>0</v>
      </c>
      <c r="TQ16" s="238">
        <f t="shared" ref="TQ16" si="264">TQ11*0.0425</f>
        <v>0</v>
      </c>
      <c r="TS16" s="238">
        <f t="shared" ref="TS16" si="265">TS11*0.0425</f>
        <v>0</v>
      </c>
      <c r="TU16" s="238">
        <f t="shared" ref="TU16" si="266">TU11*0.0425</f>
        <v>0</v>
      </c>
      <c r="TW16" s="238">
        <f t="shared" ref="TW16" si="267">TW11*0.0425</f>
        <v>0</v>
      </c>
      <c r="TY16" s="238">
        <f t="shared" ref="TY16" si="268">TY11*0.0425</f>
        <v>0</v>
      </c>
      <c r="UA16" s="238">
        <f t="shared" ref="UA16" si="269">UA11*0.0425</f>
        <v>0</v>
      </c>
      <c r="UC16" s="238">
        <f t="shared" ref="UC16" si="270">UC11*0.0425</f>
        <v>0</v>
      </c>
      <c r="UE16" s="238">
        <f t="shared" ref="UE16" si="271">UE11*0.0425</f>
        <v>0</v>
      </c>
      <c r="UG16" s="238">
        <f t="shared" ref="UG16" si="272">UG11*0.0425</f>
        <v>0</v>
      </c>
      <c r="UI16" s="238">
        <f t="shared" ref="UI16" si="273">UI11*0.0425</f>
        <v>0</v>
      </c>
      <c r="UK16" s="238">
        <f t="shared" ref="UK16" si="274">UK11*0.0425</f>
        <v>0</v>
      </c>
      <c r="UM16" s="238">
        <f t="shared" ref="UM16" si="275">UM11*0.0425</f>
        <v>0</v>
      </c>
      <c r="UO16" s="238">
        <f t="shared" ref="UO16" si="276">UO11*0.0425</f>
        <v>0</v>
      </c>
      <c r="UQ16" s="238">
        <f t="shared" ref="UQ16" si="277">UQ11*0.0425</f>
        <v>0</v>
      </c>
      <c r="US16" s="238">
        <f t="shared" ref="US16" si="278">US11*0.0425</f>
        <v>0</v>
      </c>
      <c r="UU16" s="238">
        <f t="shared" ref="UU16" si="279">UU11*0.0425</f>
        <v>0</v>
      </c>
      <c r="UW16" s="238">
        <f t="shared" ref="UW16" si="280">UW11*0.0425</f>
        <v>0</v>
      </c>
      <c r="UY16" s="238">
        <f t="shared" ref="UY16" si="281">UY11*0.0425</f>
        <v>0</v>
      </c>
      <c r="VA16" s="238">
        <f t="shared" ref="VA16" si="282">VA11*0.0425</f>
        <v>0</v>
      </c>
      <c r="VC16" s="238">
        <f t="shared" ref="VC16" si="283">VC11*0.0425</f>
        <v>0</v>
      </c>
      <c r="VE16" s="238">
        <f t="shared" ref="VE16" si="284">VE11*0.0425</f>
        <v>0</v>
      </c>
      <c r="VG16" s="238">
        <f t="shared" ref="VG16" si="285">VG11*0.0425</f>
        <v>0</v>
      </c>
      <c r="VI16" s="238">
        <f t="shared" ref="VI16" si="286">VI11*0.0425</f>
        <v>0</v>
      </c>
      <c r="VK16" s="238">
        <f t="shared" ref="VK16" si="287">VK11*0.0425</f>
        <v>0</v>
      </c>
      <c r="VM16" s="238">
        <f t="shared" ref="VM16" si="288">VM11*0.0425</f>
        <v>0</v>
      </c>
      <c r="VO16" s="238">
        <f t="shared" ref="VO16" si="289">VO11*0.0425</f>
        <v>0</v>
      </c>
      <c r="VQ16" s="238">
        <f t="shared" ref="VQ16" si="290">VQ11*0.0425</f>
        <v>0</v>
      </c>
      <c r="VS16" s="238">
        <f t="shared" ref="VS16" si="291">VS11*0.0425</f>
        <v>0</v>
      </c>
      <c r="VU16" s="238">
        <f t="shared" ref="VU16" si="292">VU11*0.0425</f>
        <v>0</v>
      </c>
      <c r="VW16" s="238">
        <f t="shared" ref="VW16" si="293">VW11*0.0425</f>
        <v>0</v>
      </c>
      <c r="VY16" s="238">
        <f t="shared" ref="VY16" si="294">VY11*0.0425</f>
        <v>0</v>
      </c>
      <c r="WA16" s="238">
        <f t="shared" ref="WA16" si="295">WA11*0.0425</f>
        <v>0</v>
      </c>
      <c r="WC16" s="238">
        <f t="shared" ref="WC16" si="296">WC11*0.0425</f>
        <v>0</v>
      </c>
      <c r="WE16" s="238">
        <f t="shared" ref="WE16" si="297">WE11*0.0425</f>
        <v>0</v>
      </c>
      <c r="WG16" s="238">
        <f t="shared" ref="WG16" si="298">WG11*0.0425</f>
        <v>0</v>
      </c>
      <c r="WI16" s="238">
        <f t="shared" ref="WI16" si="299">WI11*0.0425</f>
        <v>0</v>
      </c>
      <c r="WK16" s="238">
        <f t="shared" ref="WK16" si="300">WK11*0.0425</f>
        <v>0</v>
      </c>
      <c r="WM16" s="238">
        <f t="shared" ref="WM16" si="301">WM11*0.0425</f>
        <v>0</v>
      </c>
      <c r="WO16" s="238">
        <f t="shared" ref="WO16" si="302">WO11*0.0425</f>
        <v>0</v>
      </c>
      <c r="WQ16" s="238">
        <f t="shared" ref="WQ16" si="303">WQ11*0.0425</f>
        <v>0</v>
      </c>
      <c r="WS16" s="238">
        <f t="shared" ref="WS16" si="304">WS11*0.0425</f>
        <v>0</v>
      </c>
      <c r="WU16" s="238">
        <f t="shared" ref="WU16" si="305">WU11*0.0425</f>
        <v>0</v>
      </c>
      <c r="WW16" s="238">
        <f t="shared" ref="WW16" si="306">WW11*0.0425</f>
        <v>0</v>
      </c>
      <c r="WY16" s="238">
        <f t="shared" ref="WY16" si="307">WY11*0.0425</f>
        <v>0</v>
      </c>
      <c r="XA16" s="238">
        <f t="shared" ref="XA16" si="308">XA11*0.0425</f>
        <v>0</v>
      </c>
      <c r="XC16" s="238">
        <f t="shared" ref="XC16" si="309">XC11*0.0425</f>
        <v>0</v>
      </c>
      <c r="XE16" s="238">
        <f t="shared" ref="XE16" si="310">XE11*0.0425</f>
        <v>0</v>
      </c>
      <c r="XG16" s="238">
        <f t="shared" ref="XG16" si="311">XG11*0.0425</f>
        <v>0</v>
      </c>
      <c r="XI16" s="238">
        <f t="shared" ref="XI16" si="312">XI11*0.0425</f>
        <v>0</v>
      </c>
      <c r="XK16" s="238">
        <f t="shared" ref="XK16" si="313">XK11*0.0425</f>
        <v>0</v>
      </c>
      <c r="XM16" s="238">
        <f t="shared" ref="XM16" si="314">XM11*0.0425</f>
        <v>0</v>
      </c>
      <c r="XO16" s="238">
        <f t="shared" ref="XO16" si="315">XO11*0.0425</f>
        <v>0</v>
      </c>
      <c r="XQ16" s="238">
        <f t="shared" ref="XQ16" si="316">XQ11*0.0425</f>
        <v>0</v>
      </c>
      <c r="XS16" s="238">
        <f t="shared" ref="XS16" si="317">XS11*0.0425</f>
        <v>0</v>
      </c>
      <c r="XU16" s="238">
        <f t="shared" ref="XU16" si="318">XU11*0.0425</f>
        <v>0</v>
      </c>
      <c r="XW16" s="238">
        <f t="shared" ref="XW16" si="319">XW11*0.0425</f>
        <v>0</v>
      </c>
      <c r="XY16" s="238">
        <f t="shared" ref="XY16" si="320">XY11*0.0425</f>
        <v>0</v>
      </c>
      <c r="YA16" s="238">
        <f t="shared" ref="YA16" si="321">YA11*0.0425</f>
        <v>0</v>
      </c>
      <c r="YC16" s="238">
        <f t="shared" ref="YC16" si="322">YC11*0.0425</f>
        <v>0</v>
      </c>
      <c r="YE16" s="238">
        <f t="shared" ref="YE16" si="323">YE11*0.0425</f>
        <v>0</v>
      </c>
      <c r="YG16" s="238">
        <f t="shared" ref="YG16" si="324">YG11*0.0425</f>
        <v>0</v>
      </c>
      <c r="YI16" s="238">
        <f t="shared" ref="YI16" si="325">YI11*0.0425</f>
        <v>0</v>
      </c>
      <c r="YK16" s="238">
        <f t="shared" ref="YK16" si="326">YK11*0.0425</f>
        <v>0</v>
      </c>
      <c r="YM16" s="238">
        <f t="shared" ref="YM16" si="327">YM11*0.0425</f>
        <v>0</v>
      </c>
      <c r="YO16" s="238">
        <f t="shared" ref="YO16" si="328">YO11*0.0425</f>
        <v>0</v>
      </c>
      <c r="YQ16" s="238">
        <f t="shared" ref="YQ16" si="329">YQ11*0.0425</f>
        <v>0</v>
      </c>
      <c r="YS16" s="238">
        <f t="shared" ref="YS16" si="330">YS11*0.0425</f>
        <v>0</v>
      </c>
      <c r="YU16" s="238">
        <f t="shared" ref="YU16" si="331">YU11*0.0425</f>
        <v>0</v>
      </c>
      <c r="YW16" s="238">
        <f t="shared" ref="YW16" si="332">YW11*0.0425</f>
        <v>0</v>
      </c>
      <c r="YY16" s="238">
        <f t="shared" ref="YY16" si="333">YY11*0.0425</f>
        <v>0</v>
      </c>
      <c r="ZA16" s="238">
        <f t="shared" ref="ZA16" si="334">ZA11*0.0425</f>
        <v>0</v>
      </c>
      <c r="ZC16" s="238">
        <f t="shared" ref="ZC16" si="335">ZC11*0.0425</f>
        <v>0</v>
      </c>
      <c r="ZE16" s="238">
        <f t="shared" ref="ZE16" si="336">ZE11*0.0425</f>
        <v>0</v>
      </c>
      <c r="ZG16" s="238">
        <f t="shared" ref="ZG16" si="337">ZG11*0.0425</f>
        <v>0</v>
      </c>
      <c r="ZI16" s="238">
        <f t="shared" ref="ZI16" si="338">ZI11*0.0425</f>
        <v>0</v>
      </c>
      <c r="ZK16" s="238">
        <f t="shared" ref="ZK16" si="339">ZK11*0.0425</f>
        <v>0</v>
      </c>
      <c r="ZM16" s="238">
        <f t="shared" ref="ZM16" si="340">ZM11*0.0425</f>
        <v>0</v>
      </c>
      <c r="ZO16" s="238">
        <f t="shared" ref="ZO16" si="341">ZO11*0.0425</f>
        <v>0</v>
      </c>
      <c r="ZQ16" s="238">
        <f t="shared" ref="ZQ16" si="342">ZQ11*0.0425</f>
        <v>0</v>
      </c>
      <c r="ZS16" s="238">
        <f t="shared" ref="ZS16" si="343">ZS11*0.0425</f>
        <v>0</v>
      </c>
      <c r="ZU16" s="238">
        <f t="shared" ref="ZU16" si="344">ZU11*0.0425</f>
        <v>0</v>
      </c>
      <c r="ZW16" s="238">
        <f t="shared" ref="ZW16" si="345">ZW11*0.0425</f>
        <v>0</v>
      </c>
      <c r="ZY16" s="238">
        <f t="shared" ref="ZY16" si="346">ZY11*0.0425</f>
        <v>0</v>
      </c>
      <c r="AAA16" s="238">
        <f t="shared" ref="AAA16" si="347">AAA11*0.0425</f>
        <v>0</v>
      </c>
      <c r="AAC16" s="238">
        <f t="shared" ref="AAC16" si="348">AAC11*0.0425</f>
        <v>0</v>
      </c>
      <c r="AAE16" s="238">
        <f t="shared" ref="AAE16" si="349">AAE11*0.0425</f>
        <v>0</v>
      </c>
      <c r="AAG16" s="238">
        <f t="shared" ref="AAG16" si="350">AAG11*0.0425</f>
        <v>0</v>
      </c>
      <c r="AAI16" s="238">
        <f t="shared" ref="AAI16" si="351">AAI11*0.0425</f>
        <v>0</v>
      </c>
      <c r="AAK16" s="238">
        <f t="shared" ref="AAK16" si="352">AAK11*0.0425</f>
        <v>0</v>
      </c>
      <c r="AAM16" s="238">
        <f t="shared" ref="AAM16" si="353">AAM11*0.0425</f>
        <v>0</v>
      </c>
      <c r="AAO16" s="238">
        <f t="shared" ref="AAO16" si="354">AAO11*0.0425</f>
        <v>0</v>
      </c>
      <c r="AAQ16" s="238">
        <f t="shared" ref="AAQ16" si="355">AAQ11*0.0425</f>
        <v>0</v>
      </c>
      <c r="AAS16" s="238">
        <f t="shared" ref="AAS16" si="356">AAS11*0.0425</f>
        <v>0</v>
      </c>
      <c r="AAU16" s="238">
        <f t="shared" ref="AAU16" si="357">AAU11*0.0425</f>
        <v>0</v>
      </c>
      <c r="AAW16" s="238">
        <f t="shared" ref="AAW16" si="358">AAW11*0.0425</f>
        <v>0</v>
      </c>
      <c r="AAY16" s="238">
        <f t="shared" ref="AAY16" si="359">AAY11*0.0425</f>
        <v>0</v>
      </c>
      <c r="ABA16" s="238">
        <f t="shared" ref="ABA16" si="360">ABA11*0.0425</f>
        <v>0</v>
      </c>
      <c r="ABC16" s="238">
        <f t="shared" ref="ABC16" si="361">ABC11*0.0425</f>
        <v>0</v>
      </c>
      <c r="ABE16" s="238">
        <f t="shared" ref="ABE16" si="362">ABE11*0.0425</f>
        <v>0</v>
      </c>
      <c r="ABG16" s="238">
        <f t="shared" ref="ABG16" si="363">ABG11*0.0425</f>
        <v>0</v>
      </c>
      <c r="ABI16" s="238">
        <f t="shared" ref="ABI16" si="364">ABI11*0.0425</f>
        <v>0</v>
      </c>
      <c r="ABK16" s="238">
        <f t="shared" ref="ABK16" si="365">ABK11*0.0425</f>
        <v>0</v>
      </c>
      <c r="ABM16" s="238">
        <f t="shared" ref="ABM16" si="366">ABM11*0.0425</f>
        <v>0</v>
      </c>
      <c r="ABO16" s="238">
        <f t="shared" ref="ABO16" si="367">ABO11*0.0425</f>
        <v>0</v>
      </c>
      <c r="ABQ16" s="238">
        <f t="shared" ref="ABQ16" si="368">ABQ11*0.0425</f>
        <v>0</v>
      </c>
      <c r="ABS16" s="238">
        <f t="shared" ref="ABS16" si="369">ABS11*0.0425</f>
        <v>0</v>
      </c>
      <c r="ABU16" s="238">
        <f t="shared" ref="ABU16" si="370">ABU11*0.0425</f>
        <v>0</v>
      </c>
      <c r="ABW16" s="238">
        <f t="shared" ref="ABW16" si="371">ABW11*0.0425</f>
        <v>0</v>
      </c>
      <c r="ABY16" s="238">
        <f t="shared" ref="ABY16" si="372">ABY11*0.0425</f>
        <v>0</v>
      </c>
      <c r="ACA16" s="238">
        <f t="shared" ref="ACA16" si="373">ACA11*0.0425</f>
        <v>0</v>
      </c>
      <c r="ACC16" s="238">
        <f t="shared" ref="ACC16" si="374">ACC11*0.0425</f>
        <v>0</v>
      </c>
      <c r="ACE16" s="238">
        <f t="shared" ref="ACE16" si="375">ACE11*0.0425</f>
        <v>0</v>
      </c>
      <c r="ACG16" s="238">
        <f t="shared" ref="ACG16" si="376">ACG11*0.0425</f>
        <v>0</v>
      </c>
      <c r="ACI16" s="238">
        <f t="shared" ref="ACI16" si="377">ACI11*0.0425</f>
        <v>0</v>
      </c>
      <c r="ACK16" s="238">
        <f t="shared" ref="ACK16" si="378">ACK11*0.0425</f>
        <v>0</v>
      </c>
      <c r="ACM16" s="238">
        <f t="shared" ref="ACM16" si="379">ACM11*0.0425</f>
        <v>0</v>
      </c>
      <c r="ACO16" s="238">
        <f t="shared" ref="ACO16" si="380">ACO11*0.0425</f>
        <v>0</v>
      </c>
      <c r="ACQ16" s="238">
        <f t="shared" ref="ACQ16" si="381">ACQ11*0.0425</f>
        <v>0</v>
      </c>
      <c r="ACS16" s="238">
        <f t="shared" ref="ACS16" si="382">ACS11*0.0425</f>
        <v>0</v>
      </c>
      <c r="ACU16" s="238">
        <f t="shared" ref="ACU16" si="383">ACU11*0.0425</f>
        <v>0</v>
      </c>
      <c r="ACW16" s="238">
        <f t="shared" ref="ACW16" si="384">ACW11*0.0425</f>
        <v>0</v>
      </c>
      <c r="ACY16" s="238">
        <f t="shared" ref="ACY16" si="385">ACY11*0.0425</f>
        <v>0</v>
      </c>
      <c r="ADA16" s="238">
        <f t="shared" ref="ADA16" si="386">ADA11*0.0425</f>
        <v>0</v>
      </c>
      <c r="ADC16" s="238">
        <f t="shared" ref="ADC16" si="387">ADC11*0.0425</f>
        <v>0</v>
      </c>
      <c r="ADE16" s="238">
        <f t="shared" ref="ADE16" si="388">ADE11*0.0425</f>
        <v>0</v>
      </c>
      <c r="ADG16" s="238">
        <f t="shared" ref="ADG16" si="389">ADG11*0.0425</f>
        <v>0</v>
      </c>
      <c r="ADI16" s="238">
        <f t="shared" ref="ADI16" si="390">ADI11*0.0425</f>
        <v>0</v>
      </c>
      <c r="ADK16" s="238">
        <f t="shared" ref="ADK16" si="391">ADK11*0.0425</f>
        <v>0</v>
      </c>
      <c r="ADM16" s="238">
        <f t="shared" ref="ADM16" si="392">ADM11*0.0425</f>
        <v>0</v>
      </c>
      <c r="ADO16" s="238">
        <f t="shared" ref="ADO16" si="393">ADO11*0.0425</f>
        <v>0</v>
      </c>
      <c r="ADQ16" s="238">
        <f t="shared" ref="ADQ16" si="394">ADQ11*0.0425</f>
        <v>0</v>
      </c>
      <c r="ADS16" s="238">
        <f t="shared" ref="ADS16" si="395">ADS11*0.0425</f>
        <v>0</v>
      </c>
      <c r="ADU16" s="238">
        <f t="shared" ref="ADU16" si="396">ADU11*0.0425</f>
        <v>0</v>
      </c>
      <c r="ADW16" s="238">
        <f t="shared" ref="ADW16" si="397">ADW11*0.0425</f>
        <v>0</v>
      </c>
      <c r="ADY16" s="238">
        <f t="shared" ref="ADY16" si="398">ADY11*0.0425</f>
        <v>0</v>
      </c>
      <c r="AEA16" s="238">
        <f t="shared" ref="AEA16" si="399">AEA11*0.0425</f>
        <v>0</v>
      </c>
      <c r="AEC16" s="238">
        <f t="shared" ref="AEC16" si="400">AEC11*0.0425</f>
        <v>0</v>
      </c>
      <c r="AEE16" s="238">
        <f t="shared" ref="AEE16" si="401">AEE11*0.0425</f>
        <v>0</v>
      </c>
      <c r="AEG16" s="238">
        <f t="shared" ref="AEG16" si="402">AEG11*0.0425</f>
        <v>0</v>
      </c>
      <c r="AEI16" s="238">
        <f t="shared" ref="AEI16" si="403">AEI11*0.0425</f>
        <v>0</v>
      </c>
      <c r="AEK16" s="238">
        <f t="shared" ref="AEK16" si="404">AEK11*0.0425</f>
        <v>0</v>
      </c>
      <c r="AEM16" s="238">
        <f t="shared" ref="AEM16" si="405">AEM11*0.0425</f>
        <v>0</v>
      </c>
      <c r="AEO16" s="238">
        <f t="shared" ref="AEO16" si="406">AEO11*0.0425</f>
        <v>0</v>
      </c>
      <c r="AEQ16" s="238">
        <f t="shared" ref="AEQ16" si="407">AEQ11*0.0425</f>
        <v>0</v>
      </c>
      <c r="AES16" s="238">
        <f t="shared" ref="AES16" si="408">AES11*0.0425</f>
        <v>0</v>
      </c>
      <c r="AEU16" s="238">
        <f t="shared" ref="AEU16" si="409">AEU11*0.0425</f>
        <v>0</v>
      </c>
      <c r="AEW16" s="238">
        <f t="shared" ref="AEW16" si="410">AEW11*0.0425</f>
        <v>0</v>
      </c>
      <c r="AEY16" s="238">
        <f t="shared" ref="AEY16" si="411">AEY11*0.0425</f>
        <v>0</v>
      </c>
      <c r="AFA16" s="238">
        <f t="shared" ref="AFA16" si="412">AFA11*0.0425</f>
        <v>0</v>
      </c>
      <c r="AFC16" s="238">
        <f t="shared" ref="AFC16" si="413">AFC11*0.0425</f>
        <v>0</v>
      </c>
      <c r="AFE16" s="238">
        <f t="shared" ref="AFE16" si="414">AFE11*0.0425</f>
        <v>0</v>
      </c>
      <c r="AFG16" s="238">
        <f t="shared" ref="AFG16" si="415">AFG11*0.0425</f>
        <v>0</v>
      </c>
      <c r="AFI16" s="238">
        <f t="shared" ref="AFI16" si="416">AFI11*0.0425</f>
        <v>0</v>
      </c>
      <c r="AFK16" s="238">
        <f t="shared" ref="AFK16" si="417">AFK11*0.0425</f>
        <v>0</v>
      </c>
      <c r="AFM16" s="238">
        <f t="shared" ref="AFM16" si="418">AFM11*0.0425</f>
        <v>0</v>
      </c>
      <c r="AFO16" s="238">
        <f t="shared" ref="AFO16" si="419">AFO11*0.0425</f>
        <v>0</v>
      </c>
      <c r="AFQ16" s="238">
        <f t="shared" ref="AFQ16" si="420">AFQ11*0.0425</f>
        <v>0</v>
      </c>
      <c r="AFS16" s="238">
        <f t="shared" ref="AFS16" si="421">AFS11*0.0425</f>
        <v>0</v>
      </c>
      <c r="AFU16" s="238">
        <f t="shared" ref="AFU16" si="422">AFU11*0.0425</f>
        <v>0</v>
      </c>
      <c r="AFW16" s="238">
        <f t="shared" ref="AFW16" si="423">AFW11*0.0425</f>
        <v>0</v>
      </c>
      <c r="AFY16" s="238">
        <f t="shared" ref="AFY16" si="424">AFY11*0.0425</f>
        <v>0</v>
      </c>
      <c r="AGA16" s="238">
        <f t="shared" ref="AGA16" si="425">AGA11*0.0425</f>
        <v>0</v>
      </c>
      <c r="AGC16" s="238">
        <f t="shared" ref="AGC16" si="426">AGC11*0.0425</f>
        <v>0</v>
      </c>
      <c r="AGE16" s="238">
        <f t="shared" ref="AGE16" si="427">AGE11*0.0425</f>
        <v>0</v>
      </c>
      <c r="AGG16" s="238">
        <f t="shared" ref="AGG16" si="428">AGG11*0.0425</f>
        <v>0</v>
      </c>
      <c r="AGI16" s="238">
        <f t="shared" ref="AGI16" si="429">AGI11*0.0425</f>
        <v>0</v>
      </c>
      <c r="AGK16" s="238">
        <f t="shared" ref="AGK16" si="430">AGK11*0.0425</f>
        <v>0</v>
      </c>
      <c r="AGM16" s="238">
        <f t="shared" ref="AGM16" si="431">AGM11*0.0425</f>
        <v>0</v>
      </c>
      <c r="AGO16" s="238">
        <f t="shared" ref="AGO16" si="432">AGO11*0.0425</f>
        <v>0</v>
      </c>
      <c r="AGQ16" s="238">
        <f t="shared" ref="AGQ16" si="433">AGQ11*0.0425</f>
        <v>0</v>
      </c>
      <c r="AGS16" s="238">
        <f t="shared" ref="AGS16" si="434">AGS11*0.0425</f>
        <v>0</v>
      </c>
      <c r="AGU16" s="238">
        <f t="shared" ref="AGU16" si="435">AGU11*0.0425</f>
        <v>0</v>
      </c>
      <c r="AGW16" s="238">
        <f t="shared" ref="AGW16" si="436">AGW11*0.0425</f>
        <v>0</v>
      </c>
      <c r="AGY16" s="238">
        <f t="shared" ref="AGY16" si="437">AGY11*0.0425</f>
        <v>0</v>
      </c>
      <c r="AHA16" s="238">
        <f t="shared" ref="AHA16" si="438">AHA11*0.0425</f>
        <v>0</v>
      </c>
      <c r="AHC16" s="238">
        <f t="shared" ref="AHC16" si="439">AHC11*0.0425</f>
        <v>0</v>
      </c>
      <c r="AHE16" s="238">
        <f t="shared" ref="AHE16" si="440">AHE11*0.0425</f>
        <v>0</v>
      </c>
      <c r="AHG16" s="238">
        <f t="shared" ref="AHG16" si="441">AHG11*0.0425</f>
        <v>0</v>
      </c>
      <c r="AHI16" s="238">
        <f t="shared" ref="AHI16" si="442">AHI11*0.0425</f>
        <v>0</v>
      </c>
      <c r="AHK16" s="238">
        <f t="shared" ref="AHK16" si="443">AHK11*0.0425</f>
        <v>0</v>
      </c>
      <c r="AHM16" s="238">
        <f t="shared" ref="AHM16" si="444">AHM11*0.0425</f>
        <v>0</v>
      </c>
      <c r="AHO16" s="238">
        <f t="shared" ref="AHO16" si="445">AHO11*0.0425</f>
        <v>0</v>
      </c>
      <c r="AHQ16" s="238">
        <f t="shared" ref="AHQ16" si="446">AHQ11*0.0425</f>
        <v>0</v>
      </c>
      <c r="AHS16" s="238">
        <f t="shared" ref="AHS16" si="447">AHS11*0.0425</f>
        <v>0</v>
      </c>
      <c r="AHU16" s="238">
        <f t="shared" ref="AHU16" si="448">AHU11*0.0425</f>
        <v>0</v>
      </c>
      <c r="AHW16" s="238">
        <f t="shared" ref="AHW16" si="449">AHW11*0.0425</f>
        <v>0</v>
      </c>
      <c r="AHY16" s="238">
        <f t="shared" ref="AHY16" si="450">AHY11*0.0425</f>
        <v>0</v>
      </c>
      <c r="AIA16" s="238">
        <f t="shared" ref="AIA16" si="451">AIA11*0.0425</f>
        <v>0</v>
      </c>
      <c r="AIC16" s="238">
        <f t="shared" ref="AIC16" si="452">AIC11*0.0425</f>
        <v>0</v>
      </c>
      <c r="AIE16" s="238">
        <f t="shared" ref="AIE16" si="453">AIE11*0.0425</f>
        <v>0</v>
      </c>
      <c r="AIG16" s="238">
        <f t="shared" ref="AIG16" si="454">AIG11*0.0425</f>
        <v>0</v>
      </c>
      <c r="AII16" s="238">
        <f t="shared" ref="AII16" si="455">AII11*0.0425</f>
        <v>0</v>
      </c>
      <c r="AIK16" s="238">
        <f t="shared" ref="AIK16" si="456">AIK11*0.0425</f>
        <v>0</v>
      </c>
      <c r="AIM16" s="238">
        <f t="shared" ref="AIM16" si="457">AIM11*0.0425</f>
        <v>0</v>
      </c>
      <c r="AIO16" s="238">
        <f t="shared" ref="AIO16" si="458">AIO11*0.0425</f>
        <v>0</v>
      </c>
      <c r="AIQ16" s="238">
        <f t="shared" ref="AIQ16" si="459">AIQ11*0.0425</f>
        <v>0</v>
      </c>
      <c r="AIS16" s="238">
        <f t="shared" ref="AIS16" si="460">AIS11*0.0425</f>
        <v>0</v>
      </c>
      <c r="AIU16" s="238">
        <f t="shared" ref="AIU16" si="461">AIU11*0.0425</f>
        <v>0</v>
      </c>
      <c r="AIW16" s="238">
        <f t="shared" ref="AIW16" si="462">AIW11*0.0425</f>
        <v>0</v>
      </c>
      <c r="AIY16" s="238">
        <f t="shared" ref="AIY16" si="463">AIY11*0.0425</f>
        <v>0</v>
      </c>
      <c r="AJA16" s="238">
        <f t="shared" ref="AJA16" si="464">AJA11*0.0425</f>
        <v>0</v>
      </c>
      <c r="AJC16" s="238">
        <f t="shared" ref="AJC16" si="465">AJC11*0.0425</f>
        <v>0</v>
      </c>
      <c r="AJE16" s="238">
        <f t="shared" ref="AJE16" si="466">AJE11*0.0425</f>
        <v>0</v>
      </c>
      <c r="AJG16" s="238">
        <f t="shared" ref="AJG16" si="467">AJG11*0.0425</f>
        <v>0</v>
      </c>
      <c r="AJI16" s="238">
        <f t="shared" ref="AJI16" si="468">AJI11*0.0425</f>
        <v>0</v>
      </c>
      <c r="AJK16" s="238">
        <f t="shared" ref="AJK16" si="469">AJK11*0.0425</f>
        <v>0</v>
      </c>
      <c r="AJM16" s="238">
        <f t="shared" ref="AJM16" si="470">AJM11*0.0425</f>
        <v>0</v>
      </c>
      <c r="AJO16" s="238">
        <f t="shared" ref="AJO16" si="471">AJO11*0.0425</f>
        <v>0</v>
      </c>
      <c r="AJQ16" s="238">
        <f t="shared" ref="AJQ16" si="472">AJQ11*0.0425</f>
        <v>0</v>
      </c>
      <c r="AJS16" s="238">
        <f t="shared" ref="AJS16" si="473">AJS11*0.0425</f>
        <v>0</v>
      </c>
      <c r="AJU16" s="238">
        <f t="shared" ref="AJU16" si="474">AJU11*0.0425</f>
        <v>0</v>
      </c>
      <c r="AJW16" s="238">
        <f t="shared" ref="AJW16" si="475">AJW11*0.0425</f>
        <v>0</v>
      </c>
      <c r="AJY16" s="238">
        <f t="shared" ref="AJY16" si="476">AJY11*0.0425</f>
        <v>0</v>
      </c>
      <c r="AKA16" s="238">
        <f t="shared" ref="AKA16" si="477">AKA11*0.0425</f>
        <v>0</v>
      </c>
      <c r="AKC16" s="238">
        <f t="shared" ref="AKC16" si="478">AKC11*0.0425</f>
        <v>0</v>
      </c>
      <c r="AKE16" s="238">
        <f t="shared" ref="AKE16" si="479">AKE11*0.0425</f>
        <v>0</v>
      </c>
      <c r="AKG16" s="238">
        <f t="shared" ref="AKG16" si="480">AKG11*0.0425</f>
        <v>0</v>
      </c>
      <c r="AKI16" s="238">
        <f t="shared" ref="AKI16" si="481">AKI11*0.0425</f>
        <v>0</v>
      </c>
      <c r="AKK16" s="238">
        <f t="shared" ref="AKK16" si="482">AKK11*0.0425</f>
        <v>0</v>
      </c>
      <c r="AKM16" s="238">
        <f t="shared" ref="AKM16" si="483">AKM11*0.0425</f>
        <v>0</v>
      </c>
      <c r="AKO16" s="238">
        <f t="shared" ref="AKO16" si="484">AKO11*0.0425</f>
        <v>0</v>
      </c>
      <c r="AKQ16" s="238">
        <f t="shared" ref="AKQ16" si="485">AKQ11*0.0425</f>
        <v>0</v>
      </c>
      <c r="AKS16" s="238">
        <f t="shared" ref="AKS16" si="486">AKS11*0.0425</f>
        <v>0</v>
      </c>
      <c r="AKU16" s="238">
        <f t="shared" ref="AKU16" si="487">AKU11*0.0425</f>
        <v>0</v>
      </c>
      <c r="AKW16" s="238">
        <f t="shared" ref="AKW16" si="488">AKW11*0.0425</f>
        <v>0</v>
      </c>
      <c r="AKY16" s="238">
        <f t="shared" ref="AKY16" si="489">AKY11*0.0425</f>
        <v>0</v>
      </c>
      <c r="ALA16" s="238">
        <f t="shared" ref="ALA16" si="490">ALA11*0.0425</f>
        <v>0</v>
      </c>
      <c r="ALC16" s="238">
        <f t="shared" ref="ALC16" si="491">ALC11*0.0425</f>
        <v>0</v>
      </c>
      <c r="ALE16" s="238">
        <f t="shared" ref="ALE16" si="492">ALE11*0.0425</f>
        <v>0</v>
      </c>
      <c r="ALG16" s="238">
        <f t="shared" ref="ALG16" si="493">ALG11*0.0425</f>
        <v>0</v>
      </c>
      <c r="ALI16" s="238">
        <f t="shared" ref="ALI16" si="494">ALI11*0.0425</f>
        <v>0</v>
      </c>
      <c r="ALK16" s="238">
        <f t="shared" ref="ALK16" si="495">ALK11*0.0425</f>
        <v>0</v>
      </c>
      <c r="ALM16" s="238">
        <f t="shared" ref="ALM16" si="496">ALM11*0.0425</f>
        <v>0</v>
      </c>
      <c r="ALO16" s="238">
        <f t="shared" ref="ALO16" si="497">ALO11*0.0425</f>
        <v>0</v>
      </c>
      <c r="ALQ16" s="238">
        <f t="shared" ref="ALQ16" si="498">ALQ11*0.0425</f>
        <v>0</v>
      </c>
      <c r="ALS16" s="238">
        <f t="shared" ref="ALS16" si="499">ALS11*0.0425</f>
        <v>0</v>
      </c>
      <c r="ALU16" s="238">
        <f t="shared" ref="ALU16" si="500">ALU11*0.0425</f>
        <v>0</v>
      </c>
      <c r="ALW16" s="238">
        <f t="shared" ref="ALW16" si="501">ALW11*0.0425</f>
        <v>0</v>
      </c>
      <c r="ALY16" s="238">
        <f t="shared" ref="ALY16" si="502">ALY11*0.0425</f>
        <v>0</v>
      </c>
      <c r="AMA16" s="238">
        <f t="shared" ref="AMA16" si="503">AMA11*0.0425</f>
        <v>0</v>
      </c>
      <c r="AMC16" s="238">
        <f t="shared" ref="AMC16" si="504">AMC11*0.0425</f>
        <v>0</v>
      </c>
      <c r="AME16" s="238">
        <f t="shared" ref="AME16" si="505">AME11*0.0425</f>
        <v>0</v>
      </c>
      <c r="AMG16" s="238">
        <f t="shared" ref="AMG16" si="506">AMG11*0.0425</f>
        <v>0</v>
      </c>
      <c r="AMI16" s="238">
        <f t="shared" ref="AMI16" si="507">AMI11*0.0425</f>
        <v>0</v>
      </c>
      <c r="AMK16" s="238">
        <f t="shared" ref="AMK16" si="508">AMK11*0.0425</f>
        <v>0</v>
      </c>
      <c r="AMM16" s="238">
        <f t="shared" ref="AMM16" si="509">AMM11*0.0425</f>
        <v>0</v>
      </c>
      <c r="AMO16" s="238">
        <f t="shared" ref="AMO16" si="510">AMO11*0.0425</f>
        <v>0</v>
      </c>
      <c r="AMQ16" s="238">
        <f t="shared" ref="AMQ16" si="511">AMQ11*0.0425</f>
        <v>0</v>
      </c>
      <c r="AMS16" s="238">
        <f t="shared" ref="AMS16" si="512">AMS11*0.0425</f>
        <v>0</v>
      </c>
      <c r="AMU16" s="238">
        <f t="shared" ref="AMU16" si="513">AMU11*0.0425</f>
        <v>0</v>
      </c>
      <c r="AMW16" s="238">
        <f t="shared" ref="AMW16" si="514">AMW11*0.0425</f>
        <v>0</v>
      </c>
      <c r="AMY16" s="238">
        <f t="shared" ref="AMY16" si="515">AMY11*0.0425</f>
        <v>0</v>
      </c>
      <c r="ANA16" s="238">
        <f t="shared" ref="ANA16" si="516">ANA11*0.0425</f>
        <v>0</v>
      </c>
      <c r="ANC16" s="238">
        <f t="shared" ref="ANC16" si="517">ANC11*0.0425</f>
        <v>0</v>
      </c>
      <c r="ANE16" s="238">
        <f t="shared" ref="ANE16" si="518">ANE11*0.0425</f>
        <v>0</v>
      </c>
      <c r="ANG16" s="238">
        <f t="shared" ref="ANG16" si="519">ANG11*0.0425</f>
        <v>0</v>
      </c>
      <c r="ANI16" s="238">
        <f t="shared" ref="ANI16" si="520">ANI11*0.0425</f>
        <v>0</v>
      </c>
      <c r="ANK16" s="238">
        <f t="shared" ref="ANK16" si="521">ANK11*0.0425</f>
        <v>0</v>
      </c>
      <c r="ANM16" s="238">
        <f t="shared" ref="ANM16" si="522">ANM11*0.0425</f>
        <v>0</v>
      </c>
      <c r="ANO16" s="238">
        <f t="shared" ref="ANO16" si="523">ANO11*0.0425</f>
        <v>0</v>
      </c>
      <c r="ANQ16" s="238">
        <f t="shared" ref="ANQ16" si="524">ANQ11*0.0425</f>
        <v>0</v>
      </c>
      <c r="ANS16" s="238">
        <f t="shared" ref="ANS16" si="525">ANS11*0.0425</f>
        <v>0</v>
      </c>
      <c r="ANU16" s="238">
        <f t="shared" ref="ANU16" si="526">ANU11*0.0425</f>
        <v>0</v>
      </c>
      <c r="ANW16" s="238">
        <f t="shared" ref="ANW16" si="527">ANW11*0.0425</f>
        <v>0</v>
      </c>
      <c r="ANY16" s="238">
        <f t="shared" ref="ANY16" si="528">ANY11*0.0425</f>
        <v>0</v>
      </c>
      <c r="AOA16" s="238">
        <f t="shared" ref="AOA16" si="529">AOA11*0.0425</f>
        <v>0</v>
      </c>
      <c r="AOC16" s="238">
        <f t="shared" ref="AOC16" si="530">AOC11*0.0425</f>
        <v>0</v>
      </c>
      <c r="AOE16" s="238">
        <f t="shared" ref="AOE16" si="531">AOE11*0.0425</f>
        <v>0</v>
      </c>
      <c r="AOG16" s="238">
        <f t="shared" ref="AOG16" si="532">AOG11*0.0425</f>
        <v>0</v>
      </c>
      <c r="AOI16" s="238">
        <f t="shared" ref="AOI16" si="533">AOI11*0.0425</f>
        <v>0</v>
      </c>
      <c r="AOK16" s="238">
        <f t="shared" ref="AOK16" si="534">AOK11*0.0425</f>
        <v>0</v>
      </c>
      <c r="AOM16" s="238">
        <f t="shared" ref="AOM16" si="535">AOM11*0.0425</f>
        <v>0</v>
      </c>
      <c r="AOO16" s="238">
        <f t="shared" ref="AOO16" si="536">AOO11*0.0425</f>
        <v>0</v>
      </c>
      <c r="AOQ16" s="238">
        <f t="shared" ref="AOQ16" si="537">AOQ11*0.0425</f>
        <v>0</v>
      </c>
      <c r="AOS16" s="238">
        <f t="shared" ref="AOS16" si="538">AOS11*0.0425</f>
        <v>0</v>
      </c>
      <c r="AOU16" s="238">
        <f t="shared" ref="AOU16" si="539">AOU11*0.0425</f>
        <v>0</v>
      </c>
      <c r="AOW16" s="238">
        <f t="shared" ref="AOW16" si="540">AOW11*0.0425</f>
        <v>0</v>
      </c>
      <c r="AOY16" s="238">
        <f t="shared" ref="AOY16" si="541">AOY11*0.0425</f>
        <v>0</v>
      </c>
      <c r="APA16" s="238">
        <f t="shared" ref="APA16" si="542">APA11*0.0425</f>
        <v>0</v>
      </c>
      <c r="APC16" s="238">
        <f t="shared" ref="APC16" si="543">APC11*0.0425</f>
        <v>0</v>
      </c>
      <c r="APE16" s="238">
        <f t="shared" ref="APE16" si="544">APE11*0.0425</f>
        <v>0</v>
      </c>
      <c r="APG16" s="238">
        <f t="shared" ref="APG16" si="545">APG11*0.0425</f>
        <v>0</v>
      </c>
      <c r="API16" s="238">
        <f t="shared" ref="API16" si="546">API11*0.0425</f>
        <v>0</v>
      </c>
      <c r="APK16" s="238">
        <f t="shared" ref="APK16" si="547">APK11*0.0425</f>
        <v>0</v>
      </c>
      <c r="APM16" s="238">
        <f t="shared" ref="APM16" si="548">APM11*0.0425</f>
        <v>0</v>
      </c>
      <c r="APO16" s="238">
        <f t="shared" ref="APO16" si="549">APO11*0.0425</f>
        <v>0</v>
      </c>
      <c r="APQ16" s="238">
        <f t="shared" ref="APQ16" si="550">APQ11*0.0425</f>
        <v>0</v>
      </c>
      <c r="APS16" s="238">
        <f t="shared" ref="APS16" si="551">APS11*0.0425</f>
        <v>0</v>
      </c>
      <c r="APU16" s="238">
        <f t="shared" ref="APU16" si="552">APU11*0.0425</f>
        <v>0</v>
      </c>
      <c r="APW16" s="238">
        <f t="shared" ref="APW16" si="553">APW11*0.0425</f>
        <v>0</v>
      </c>
      <c r="APY16" s="238">
        <f t="shared" ref="APY16" si="554">APY11*0.0425</f>
        <v>0</v>
      </c>
      <c r="AQA16" s="238">
        <f t="shared" ref="AQA16" si="555">AQA11*0.0425</f>
        <v>0</v>
      </c>
      <c r="AQC16" s="238">
        <f t="shared" ref="AQC16" si="556">AQC11*0.0425</f>
        <v>0</v>
      </c>
      <c r="AQE16" s="238">
        <f t="shared" ref="AQE16" si="557">AQE11*0.0425</f>
        <v>0</v>
      </c>
      <c r="AQG16" s="238">
        <f t="shared" ref="AQG16" si="558">AQG11*0.0425</f>
        <v>0</v>
      </c>
      <c r="AQI16" s="238">
        <f t="shared" ref="AQI16" si="559">AQI11*0.0425</f>
        <v>0</v>
      </c>
      <c r="AQK16" s="238">
        <f t="shared" ref="AQK16" si="560">AQK11*0.0425</f>
        <v>0</v>
      </c>
      <c r="AQM16" s="238">
        <f t="shared" ref="AQM16" si="561">AQM11*0.0425</f>
        <v>0</v>
      </c>
      <c r="AQO16" s="238">
        <f t="shared" ref="AQO16" si="562">AQO11*0.0425</f>
        <v>0</v>
      </c>
      <c r="AQQ16" s="238">
        <f t="shared" ref="AQQ16" si="563">AQQ11*0.0425</f>
        <v>0</v>
      </c>
      <c r="AQS16" s="238">
        <f t="shared" ref="AQS16" si="564">AQS11*0.0425</f>
        <v>0</v>
      </c>
      <c r="AQU16" s="238">
        <f t="shared" ref="AQU16" si="565">AQU11*0.0425</f>
        <v>0</v>
      </c>
      <c r="AQW16" s="238">
        <f t="shared" ref="AQW16" si="566">AQW11*0.0425</f>
        <v>0</v>
      </c>
      <c r="AQY16" s="238">
        <f t="shared" ref="AQY16" si="567">AQY11*0.0425</f>
        <v>0</v>
      </c>
      <c r="ARA16" s="238">
        <f t="shared" ref="ARA16" si="568">ARA11*0.0425</f>
        <v>0</v>
      </c>
      <c r="ARC16" s="238">
        <f t="shared" ref="ARC16" si="569">ARC11*0.0425</f>
        <v>0</v>
      </c>
      <c r="ARE16" s="238">
        <f t="shared" ref="ARE16" si="570">ARE11*0.0425</f>
        <v>0</v>
      </c>
      <c r="ARG16" s="238">
        <f t="shared" ref="ARG16" si="571">ARG11*0.0425</f>
        <v>0</v>
      </c>
      <c r="ARI16" s="238">
        <f t="shared" ref="ARI16" si="572">ARI11*0.0425</f>
        <v>0</v>
      </c>
      <c r="ARK16" s="238">
        <f t="shared" ref="ARK16" si="573">ARK11*0.0425</f>
        <v>0</v>
      </c>
      <c r="ARM16" s="238">
        <f t="shared" ref="ARM16" si="574">ARM11*0.0425</f>
        <v>0</v>
      </c>
      <c r="ARO16" s="238">
        <f t="shared" ref="ARO16" si="575">ARO11*0.0425</f>
        <v>0</v>
      </c>
      <c r="ARQ16" s="238">
        <f t="shared" ref="ARQ16" si="576">ARQ11*0.0425</f>
        <v>0</v>
      </c>
      <c r="ARS16" s="238">
        <f t="shared" ref="ARS16" si="577">ARS11*0.0425</f>
        <v>0</v>
      </c>
      <c r="ARU16" s="238">
        <f t="shared" ref="ARU16" si="578">ARU11*0.0425</f>
        <v>0</v>
      </c>
      <c r="ARW16" s="238">
        <f t="shared" ref="ARW16" si="579">ARW11*0.0425</f>
        <v>0</v>
      </c>
      <c r="ARY16" s="238">
        <f t="shared" ref="ARY16" si="580">ARY11*0.0425</f>
        <v>0</v>
      </c>
      <c r="ASA16" s="238">
        <f t="shared" ref="ASA16" si="581">ASA11*0.0425</f>
        <v>0</v>
      </c>
      <c r="ASC16" s="238">
        <f t="shared" ref="ASC16" si="582">ASC11*0.0425</f>
        <v>0</v>
      </c>
      <c r="ASE16" s="238">
        <f t="shared" ref="ASE16" si="583">ASE11*0.0425</f>
        <v>0</v>
      </c>
      <c r="ASG16" s="238">
        <f t="shared" ref="ASG16" si="584">ASG11*0.0425</f>
        <v>0</v>
      </c>
      <c r="ASI16" s="238">
        <f t="shared" ref="ASI16" si="585">ASI11*0.0425</f>
        <v>0</v>
      </c>
      <c r="ASK16" s="238">
        <f t="shared" ref="ASK16" si="586">ASK11*0.0425</f>
        <v>0</v>
      </c>
      <c r="ASM16" s="238">
        <f t="shared" ref="ASM16" si="587">ASM11*0.0425</f>
        <v>0</v>
      </c>
      <c r="ASO16" s="238">
        <f t="shared" ref="ASO16" si="588">ASO11*0.0425</f>
        <v>0</v>
      </c>
      <c r="ASQ16" s="238">
        <f t="shared" ref="ASQ16" si="589">ASQ11*0.0425</f>
        <v>0</v>
      </c>
      <c r="ASS16" s="238">
        <f t="shared" ref="ASS16" si="590">ASS11*0.0425</f>
        <v>0</v>
      </c>
      <c r="ASU16" s="238">
        <f t="shared" ref="ASU16" si="591">ASU11*0.0425</f>
        <v>0</v>
      </c>
      <c r="ASW16" s="238">
        <f t="shared" ref="ASW16" si="592">ASW11*0.0425</f>
        <v>0</v>
      </c>
      <c r="ASY16" s="238">
        <f t="shared" ref="ASY16" si="593">ASY11*0.0425</f>
        <v>0</v>
      </c>
      <c r="ATA16" s="238">
        <f t="shared" ref="ATA16" si="594">ATA11*0.0425</f>
        <v>0</v>
      </c>
      <c r="ATC16" s="238">
        <f t="shared" ref="ATC16" si="595">ATC11*0.0425</f>
        <v>0</v>
      </c>
      <c r="ATE16" s="238">
        <f t="shared" ref="ATE16" si="596">ATE11*0.0425</f>
        <v>0</v>
      </c>
      <c r="ATG16" s="238">
        <f t="shared" ref="ATG16" si="597">ATG11*0.0425</f>
        <v>0</v>
      </c>
      <c r="ATI16" s="238">
        <f t="shared" ref="ATI16" si="598">ATI11*0.0425</f>
        <v>0</v>
      </c>
      <c r="ATK16" s="238">
        <f t="shared" ref="ATK16" si="599">ATK11*0.0425</f>
        <v>0</v>
      </c>
      <c r="ATM16" s="238">
        <f t="shared" ref="ATM16" si="600">ATM11*0.0425</f>
        <v>0</v>
      </c>
      <c r="ATO16" s="238">
        <f t="shared" ref="ATO16" si="601">ATO11*0.0425</f>
        <v>0</v>
      </c>
      <c r="ATQ16" s="238">
        <f t="shared" ref="ATQ16" si="602">ATQ11*0.0425</f>
        <v>0</v>
      </c>
      <c r="ATS16" s="238">
        <f t="shared" ref="ATS16" si="603">ATS11*0.0425</f>
        <v>0</v>
      </c>
      <c r="ATU16" s="238">
        <f t="shared" ref="ATU16" si="604">ATU11*0.0425</f>
        <v>0</v>
      </c>
      <c r="ATW16" s="238">
        <f t="shared" ref="ATW16" si="605">ATW11*0.0425</f>
        <v>0</v>
      </c>
      <c r="ATY16" s="238">
        <f t="shared" ref="ATY16" si="606">ATY11*0.0425</f>
        <v>0</v>
      </c>
      <c r="AUA16" s="238">
        <f t="shared" ref="AUA16" si="607">AUA11*0.0425</f>
        <v>0</v>
      </c>
      <c r="AUC16" s="238">
        <f t="shared" ref="AUC16" si="608">AUC11*0.0425</f>
        <v>0</v>
      </c>
      <c r="AUE16" s="238">
        <f t="shared" ref="AUE16" si="609">AUE11*0.0425</f>
        <v>0</v>
      </c>
      <c r="AUG16" s="238">
        <f t="shared" ref="AUG16" si="610">AUG11*0.0425</f>
        <v>0</v>
      </c>
      <c r="AUI16" s="238">
        <f t="shared" ref="AUI16" si="611">AUI11*0.0425</f>
        <v>0</v>
      </c>
      <c r="AUK16" s="238">
        <f t="shared" ref="AUK16" si="612">AUK11*0.0425</f>
        <v>0</v>
      </c>
      <c r="AUM16" s="238">
        <f t="shared" ref="AUM16" si="613">AUM11*0.0425</f>
        <v>0</v>
      </c>
      <c r="AUO16" s="238">
        <f t="shared" ref="AUO16" si="614">AUO11*0.0425</f>
        <v>0</v>
      </c>
      <c r="AUQ16" s="238">
        <f t="shared" ref="AUQ16" si="615">AUQ11*0.0425</f>
        <v>0</v>
      </c>
      <c r="AUS16" s="238">
        <f t="shared" ref="AUS16" si="616">AUS11*0.0425</f>
        <v>0</v>
      </c>
      <c r="AUU16" s="238">
        <f t="shared" ref="AUU16" si="617">AUU11*0.0425</f>
        <v>0</v>
      </c>
      <c r="AUW16" s="238">
        <f t="shared" ref="AUW16" si="618">AUW11*0.0425</f>
        <v>0</v>
      </c>
      <c r="AUY16" s="238">
        <f t="shared" ref="AUY16" si="619">AUY11*0.0425</f>
        <v>0</v>
      </c>
      <c r="AVA16" s="238">
        <f t="shared" ref="AVA16" si="620">AVA11*0.0425</f>
        <v>0</v>
      </c>
      <c r="AVC16" s="238">
        <f t="shared" ref="AVC16" si="621">AVC11*0.0425</f>
        <v>0</v>
      </c>
      <c r="AVE16" s="238">
        <f t="shared" ref="AVE16" si="622">AVE11*0.0425</f>
        <v>0</v>
      </c>
      <c r="AVG16" s="238">
        <f t="shared" ref="AVG16" si="623">AVG11*0.0425</f>
        <v>0</v>
      </c>
      <c r="AVI16" s="238">
        <f t="shared" ref="AVI16" si="624">AVI11*0.0425</f>
        <v>0</v>
      </c>
      <c r="AVK16" s="238">
        <f t="shared" ref="AVK16" si="625">AVK11*0.0425</f>
        <v>0</v>
      </c>
      <c r="AVM16" s="238">
        <f t="shared" ref="AVM16" si="626">AVM11*0.0425</f>
        <v>0</v>
      </c>
      <c r="AVO16" s="238">
        <f t="shared" ref="AVO16" si="627">AVO11*0.0425</f>
        <v>0</v>
      </c>
      <c r="AVQ16" s="238">
        <f t="shared" ref="AVQ16" si="628">AVQ11*0.0425</f>
        <v>0</v>
      </c>
      <c r="AVS16" s="238">
        <f t="shared" ref="AVS16" si="629">AVS11*0.0425</f>
        <v>0</v>
      </c>
      <c r="AVU16" s="238">
        <f t="shared" ref="AVU16" si="630">AVU11*0.0425</f>
        <v>0</v>
      </c>
      <c r="AVW16" s="238">
        <f t="shared" ref="AVW16" si="631">AVW11*0.0425</f>
        <v>0</v>
      </c>
      <c r="AVY16" s="238">
        <f t="shared" ref="AVY16" si="632">AVY11*0.0425</f>
        <v>0</v>
      </c>
      <c r="AWA16" s="238">
        <f t="shared" ref="AWA16" si="633">AWA11*0.0425</f>
        <v>0</v>
      </c>
      <c r="AWC16" s="238">
        <f t="shared" ref="AWC16" si="634">AWC11*0.0425</f>
        <v>0</v>
      </c>
      <c r="AWE16" s="238">
        <f t="shared" ref="AWE16" si="635">AWE11*0.0425</f>
        <v>0</v>
      </c>
      <c r="AWG16" s="238">
        <f t="shared" ref="AWG16" si="636">AWG11*0.0425</f>
        <v>0</v>
      </c>
      <c r="AWI16" s="238">
        <f t="shared" ref="AWI16" si="637">AWI11*0.0425</f>
        <v>0</v>
      </c>
      <c r="AWK16" s="238">
        <f t="shared" ref="AWK16" si="638">AWK11*0.0425</f>
        <v>0</v>
      </c>
      <c r="AWM16" s="238">
        <f t="shared" ref="AWM16" si="639">AWM11*0.0425</f>
        <v>0</v>
      </c>
      <c r="AWO16" s="238">
        <f t="shared" ref="AWO16" si="640">AWO11*0.0425</f>
        <v>0</v>
      </c>
      <c r="AWQ16" s="238">
        <f t="shared" ref="AWQ16" si="641">AWQ11*0.0425</f>
        <v>0</v>
      </c>
      <c r="AWS16" s="238">
        <f t="shared" ref="AWS16" si="642">AWS11*0.0425</f>
        <v>0</v>
      </c>
      <c r="AWU16" s="238">
        <f t="shared" ref="AWU16" si="643">AWU11*0.0425</f>
        <v>0</v>
      </c>
      <c r="AWW16" s="238">
        <f t="shared" ref="AWW16" si="644">AWW11*0.0425</f>
        <v>0</v>
      </c>
      <c r="AWY16" s="238">
        <f t="shared" ref="AWY16" si="645">AWY11*0.0425</f>
        <v>0</v>
      </c>
      <c r="AXA16" s="238">
        <f t="shared" ref="AXA16" si="646">AXA11*0.0425</f>
        <v>0</v>
      </c>
      <c r="AXC16" s="238">
        <f t="shared" ref="AXC16" si="647">AXC11*0.0425</f>
        <v>0</v>
      </c>
      <c r="AXE16" s="238">
        <f t="shared" ref="AXE16" si="648">AXE11*0.0425</f>
        <v>0</v>
      </c>
      <c r="AXG16" s="238">
        <f t="shared" ref="AXG16" si="649">AXG11*0.0425</f>
        <v>0</v>
      </c>
      <c r="AXI16" s="238">
        <f t="shared" ref="AXI16" si="650">AXI11*0.0425</f>
        <v>0</v>
      </c>
      <c r="AXK16" s="238">
        <f t="shared" ref="AXK16" si="651">AXK11*0.0425</f>
        <v>0</v>
      </c>
      <c r="AXM16" s="238">
        <f t="shared" ref="AXM16" si="652">AXM11*0.0425</f>
        <v>0</v>
      </c>
      <c r="AXO16" s="238">
        <f t="shared" ref="AXO16" si="653">AXO11*0.0425</f>
        <v>0</v>
      </c>
      <c r="AXQ16" s="238">
        <f t="shared" ref="AXQ16" si="654">AXQ11*0.0425</f>
        <v>0</v>
      </c>
      <c r="AXS16" s="238">
        <f t="shared" ref="AXS16" si="655">AXS11*0.0425</f>
        <v>0</v>
      </c>
      <c r="AXU16" s="238">
        <f t="shared" ref="AXU16" si="656">AXU11*0.0425</f>
        <v>0</v>
      </c>
      <c r="AXW16" s="238">
        <f t="shared" ref="AXW16" si="657">AXW11*0.0425</f>
        <v>0</v>
      </c>
      <c r="AXY16" s="238">
        <f t="shared" ref="AXY16" si="658">AXY11*0.0425</f>
        <v>0</v>
      </c>
      <c r="AYA16" s="238">
        <f t="shared" ref="AYA16" si="659">AYA11*0.0425</f>
        <v>0</v>
      </c>
      <c r="AYC16" s="238">
        <f t="shared" ref="AYC16" si="660">AYC11*0.0425</f>
        <v>0</v>
      </c>
      <c r="AYE16" s="238">
        <f t="shared" ref="AYE16" si="661">AYE11*0.0425</f>
        <v>0</v>
      </c>
      <c r="AYG16" s="238">
        <f t="shared" ref="AYG16" si="662">AYG11*0.0425</f>
        <v>0</v>
      </c>
      <c r="AYI16" s="238">
        <f t="shared" ref="AYI16" si="663">AYI11*0.0425</f>
        <v>0</v>
      </c>
      <c r="AYK16" s="238">
        <f t="shared" ref="AYK16" si="664">AYK11*0.0425</f>
        <v>0</v>
      </c>
      <c r="AYM16" s="238">
        <f t="shared" ref="AYM16" si="665">AYM11*0.0425</f>
        <v>0</v>
      </c>
      <c r="AYO16" s="238">
        <f t="shared" ref="AYO16" si="666">AYO11*0.0425</f>
        <v>0</v>
      </c>
      <c r="AYQ16" s="238">
        <f t="shared" ref="AYQ16" si="667">AYQ11*0.0425</f>
        <v>0</v>
      </c>
      <c r="AYS16" s="238">
        <f t="shared" ref="AYS16" si="668">AYS11*0.0425</f>
        <v>0</v>
      </c>
      <c r="AYU16" s="238">
        <f t="shared" ref="AYU16" si="669">AYU11*0.0425</f>
        <v>0</v>
      </c>
      <c r="AYW16" s="238">
        <f t="shared" ref="AYW16" si="670">AYW11*0.0425</f>
        <v>0</v>
      </c>
      <c r="AYY16" s="238">
        <f t="shared" ref="AYY16" si="671">AYY11*0.0425</f>
        <v>0</v>
      </c>
      <c r="AZA16" s="238">
        <f t="shared" ref="AZA16" si="672">AZA11*0.0425</f>
        <v>0</v>
      </c>
      <c r="AZC16" s="238">
        <f t="shared" ref="AZC16" si="673">AZC11*0.0425</f>
        <v>0</v>
      </c>
      <c r="AZE16" s="238">
        <f t="shared" ref="AZE16" si="674">AZE11*0.0425</f>
        <v>0</v>
      </c>
      <c r="AZG16" s="238">
        <f t="shared" ref="AZG16" si="675">AZG11*0.0425</f>
        <v>0</v>
      </c>
      <c r="AZI16" s="238">
        <f t="shared" ref="AZI16" si="676">AZI11*0.0425</f>
        <v>0</v>
      </c>
      <c r="AZK16" s="238">
        <f t="shared" ref="AZK16" si="677">AZK11*0.0425</f>
        <v>0</v>
      </c>
      <c r="AZM16" s="238">
        <f t="shared" ref="AZM16" si="678">AZM11*0.0425</f>
        <v>0</v>
      </c>
      <c r="AZO16" s="238">
        <f t="shared" ref="AZO16" si="679">AZO11*0.0425</f>
        <v>0</v>
      </c>
      <c r="AZQ16" s="238">
        <f t="shared" ref="AZQ16" si="680">AZQ11*0.0425</f>
        <v>0</v>
      </c>
      <c r="AZS16" s="238">
        <f t="shared" ref="AZS16" si="681">AZS11*0.0425</f>
        <v>0</v>
      </c>
      <c r="AZU16" s="238">
        <f t="shared" ref="AZU16" si="682">AZU11*0.0425</f>
        <v>0</v>
      </c>
      <c r="AZW16" s="238">
        <f t="shared" ref="AZW16" si="683">AZW11*0.0425</f>
        <v>0</v>
      </c>
      <c r="AZY16" s="238">
        <f t="shared" ref="AZY16" si="684">AZY11*0.0425</f>
        <v>0</v>
      </c>
      <c r="BAA16" s="238">
        <f t="shared" ref="BAA16" si="685">BAA11*0.0425</f>
        <v>0</v>
      </c>
      <c r="BAC16" s="238">
        <f t="shared" ref="BAC16" si="686">BAC11*0.0425</f>
        <v>0</v>
      </c>
      <c r="BAE16" s="238">
        <f t="shared" ref="BAE16" si="687">BAE11*0.0425</f>
        <v>0</v>
      </c>
      <c r="BAG16" s="238">
        <f t="shared" ref="BAG16" si="688">BAG11*0.0425</f>
        <v>0</v>
      </c>
      <c r="BAI16" s="238">
        <f t="shared" ref="BAI16" si="689">BAI11*0.0425</f>
        <v>0</v>
      </c>
      <c r="BAK16" s="238">
        <f t="shared" ref="BAK16" si="690">BAK11*0.0425</f>
        <v>0</v>
      </c>
      <c r="BAM16" s="238">
        <f t="shared" ref="BAM16" si="691">BAM11*0.0425</f>
        <v>0</v>
      </c>
      <c r="BAO16" s="238">
        <f t="shared" ref="BAO16" si="692">BAO11*0.0425</f>
        <v>0</v>
      </c>
      <c r="BAQ16" s="238">
        <f t="shared" ref="BAQ16" si="693">BAQ11*0.0425</f>
        <v>0</v>
      </c>
      <c r="BAS16" s="238">
        <f t="shared" ref="BAS16" si="694">BAS11*0.0425</f>
        <v>0</v>
      </c>
      <c r="BAU16" s="238">
        <f t="shared" ref="BAU16" si="695">BAU11*0.0425</f>
        <v>0</v>
      </c>
      <c r="BAW16" s="238">
        <f t="shared" ref="BAW16" si="696">BAW11*0.0425</f>
        <v>0</v>
      </c>
      <c r="BAY16" s="238">
        <f t="shared" ref="BAY16" si="697">BAY11*0.0425</f>
        <v>0</v>
      </c>
      <c r="BBA16" s="238">
        <f t="shared" ref="BBA16" si="698">BBA11*0.0425</f>
        <v>0</v>
      </c>
      <c r="BBC16" s="238">
        <f t="shared" ref="BBC16" si="699">BBC11*0.0425</f>
        <v>0</v>
      </c>
      <c r="BBE16" s="238">
        <f t="shared" ref="BBE16" si="700">BBE11*0.0425</f>
        <v>0</v>
      </c>
      <c r="BBG16" s="238">
        <f t="shared" ref="BBG16" si="701">BBG11*0.0425</f>
        <v>0</v>
      </c>
      <c r="BBI16" s="238">
        <f t="shared" ref="BBI16" si="702">BBI11*0.0425</f>
        <v>0</v>
      </c>
      <c r="BBK16" s="238">
        <f t="shared" ref="BBK16" si="703">BBK11*0.0425</f>
        <v>0</v>
      </c>
      <c r="BBM16" s="238">
        <f t="shared" ref="BBM16" si="704">BBM11*0.0425</f>
        <v>0</v>
      </c>
      <c r="BBO16" s="238">
        <f t="shared" ref="BBO16" si="705">BBO11*0.0425</f>
        <v>0</v>
      </c>
      <c r="BBQ16" s="238">
        <f t="shared" ref="BBQ16" si="706">BBQ11*0.0425</f>
        <v>0</v>
      </c>
      <c r="BBS16" s="238">
        <f t="shared" ref="BBS16" si="707">BBS11*0.0425</f>
        <v>0</v>
      </c>
      <c r="BBU16" s="238">
        <f t="shared" ref="BBU16" si="708">BBU11*0.0425</f>
        <v>0</v>
      </c>
      <c r="BBW16" s="238">
        <f t="shared" ref="BBW16" si="709">BBW11*0.0425</f>
        <v>0</v>
      </c>
      <c r="BBY16" s="238">
        <f t="shared" ref="BBY16" si="710">BBY11*0.0425</f>
        <v>0</v>
      </c>
      <c r="BCA16" s="238">
        <f t="shared" ref="BCA16" si="711">BCA11*0.0425</f>
        <v>0</v>
      </c>
      <c r="BCC16" s="238">
        <f t="shared" ref="BCC16" si="712">BCC11*0.0425</f>
        <v>0</v>
      </c>
      <c r="BCE16" s="238">
        <f t="shared" ref="BCE16" si="713">BCE11*0.0425</f>
        <v>0</v>
      </c>
      <c r="BCG16" s="238">
        <f t="shared" ref="BCG16" si="714">BCG11*0.0425</f>
        <v>0</v>
      </c>
      <c r="BCI16" s="238">
        <f t="shared" ref="BCI16" si="715">BCI11*0.0425</f>
        <v>0</v>
      </c>
      <c r="BCK16" s="238">
        <f t="shared" ref="BCK16" si="716">BCK11*0.0425</f>
        <v>0</v>
      </c>
      <c r="BCM16" s="238">
        <f t="shared" ref="BCM16" si="717">BCM11*0.0425</f>
        <v>0</v>
      </c>
      <c r="BCO16" s="238">
        <f t="shared" ref="BCO16" si="718">BCO11*0.0425</f>
        <v>0</v>
      </c>
      <c r="BCQ16" s="238">
        <f t="shared" ref="BCQ16" si="719">BCQ11*0.0425</f>
        <v>0</v>
      </c>
      <c r="BCS16" s="238">
        <f t="shared" ref="BCS16" si="720">BCS11*0.0425</f>
        <v>0</v>
      </c>
      <c r="BCU16" s="238">
        <f t="shared" ref="BCU16" si="721">BCU11*0.0425</f>
        <v>0</v>
      </c>
      <c r="BCW16" s="238">
        <f t="shared" ref="BCW16" si="722">BCW11*0.0425</f>
        <v>0</v>
      </c>
      <c r="BCY16" s="238">
        <f t="shared" ref="BCY16" si="723">BCY11*0.0425</f>
        <v>0</v>
      </c>
      <c r="BDA16" s="238">
        <f t="shared" ref="BDA16" si="724">BDA11*0.0425</f>
        <v>0</v>
      </c>
      <c r="BDC16" s="238">
        <f t="shared" ref="BDC16" si="725">BDC11*0.0425</f>
        <v>0</v>
      </c>
      <c r="BDE16" s="238">
        <f t="shared" ref="BDE16" si="726">BDE11*0.0425</f>
        <v>0</v>
      </c>
      <c r="BDG16" s="238">
        <f t="shared" ref="BDG16" si="727">BDG11*0.0425</f>
        <v>0</v>
      </c>
      <c r="BDI16" s="238">
        <f t="shared" ref="BDI16" si="728">BDI11*0.0425</f>
        <v>0</v>
      </c>
      <c r="BDK16" s="238">
        <f t="shared" ref="BDK16" si="729">BDK11*0.0425</f>
        <v>0</v>
      </c>
      <c r="BDM16" s="238">
        <f t="shared" ref="BDM16" si="730">BDM11*0.0425</f>
        <v>0</v>
      </c>
      <c r="BDO16" s="238">
        <f t="shared" ref="BDO16" si="731">BDO11*0.0425</f>
        <v>0</v>
      </c>
      <c r="BDQ16" s="238">
        <f t="shared" ref="BDQ16" si="732">BDQ11*0.0425</f>
        <v>0</v>
      </c>
      <c r="BDS16" s="238">
        <f t="shared" ref="BDS16" si="733">BDS11*0.0425</f>
        <v>0</v>
      </c>
      <c r="BDU16" s="238">
        <f t="shared" ref="BDU16" si="734">BDU11*0.0425</f>
        <v>0</v>
      </c>
      <c r="BDW16" s="238">
        <f t="shared" ref="BDW16" si="735">BDW11*0.0425</f>
        <v>0</v>
      </c>
      <c r="BDY16" s="238">
        <f t="shared" ref="BDY16" si="736">BDY11*0.0425</f>
        <v>0</v>
      </c>
      <c r="BEA16" s="238">
        <f t="shared" ref="BEA16" si="737">BEA11*0.0425</f>
        <v>0</v>
      </c>
      <c r="BEC16" s="238">
        <f t="shared" ref="BEC16" si="738">BEC11*0.0425</f>
        <v>0</v>
      </c>
      <c r="BEE16" s="238">
        <f t="shared" ref="BEE16" si="739">BEE11*0.0425</f>
        <v>0</v>
      </c>
      <c r="BEG16" s="238">
        <f t="shared" ref="BEG16" si="740">BEG11*0.0425</f>
        <v>0</v>
      </c>
      <c r="BEI16" s="238">
        <f t="shared" ref="BEI16" si="741">BEI11*0.0425</f>
        <v>0</v>
      </c>
      <c r="BEK16" s="238">
        <f t="shared" ref="BEK16" si="742">BEK11*0.0425</f>
        <v>0</v>
      </c>
      <c r="BEM16" s="238">
        <f t="shared" ref="BEM16" si="743">BEM11*0.0425</f>
        <v>0</v>
      </c>
      <c r="BEO16" s="238">
        <f t="shared" ref="BEO16" si="744">BEO11*0.0425</f>
        <v>0</v>
      </c>
      <c r="BEQ16" s="238">
        <f t="shared" ref="BEQ16" si="745">BEQ11*0.0425</f>
        <v>0</v>
      </c>
      <c r="BES16" s="238">
        <f t="shared" ref="BES16" si="746">BES11*0.0425</f>
        <v>0</v>
      </c>
      <c r="BEU16" s="238">
        <f t="shared" ref="BEU16" si="747">BEU11*0.0425</f>
        <v>0</v>
      </c>
      <c r="BEW16" s="238">
        <f t="shared" ref="BEW16" si="748">BEW11*0.0425</f>
        <v>0</v>
      </c>
      <c r="BEY16" s="238">
        <f t="shared" ref="BEY16" si="749">BEY11*0.0425</f>
        <v>0</v>
      </c>
      <c r="BFA16" s="238">
        <f t="shared" ref="BFA16" si="750">BFA11*0.0425</f>
        <v>0</v>
      </c>
      <c r="BFC16" s="238">
        <f t="shared" ref="BFC16" si="751">BFC11*0.0425</f>
        <v>0</v>
      </c>
      <c r="BFE16" s="238">
        <f t="shared" ref="BFE16" si="752">BFE11*0.0425</f>
        <v>0</v>
      </c>
      <c r="BFG16" s="238">
        <f t="shared" ref="BFG16" si="753">BFG11*0.0425</f>
        <v>0</v>
      </c>
      <c r="BFI16" s="238">
        <f t="shared" ref="BFI16" si="754">BFI11*0.0425</f>
        <v>0</v>
      </c>
      <c r="BFK16" s="238">
        <f t="shared" ref="BFK16" si="755">BFK11*0.0425</f>
        <v>0</v>
      </c>
      <c r="BFM16" s="238">
        <f t="shared" ref="BFM16" si="756">BFM11*0.0425</f>
        <v>0</v>
      </c>
      <c r="BFO16" s="238">
        <f t="shared" ref="BFO16" si="757">BFO11*0.0425</f>
        <v>0</v>
      </c>
      <c r="BFQ16" s="238">
        <f t="shared" ref="BFQ16" si="758">BFQ11*0.0425</f>
        <v>0</v>
      </c>
      <c r="BFS16" s="238">
        <f t="shared" ref="BFS16" si="759">BFS11*0.0425</f>
        <v>0</v>
      </c>
      <c r="BFU16" s="238">
        <f t="shared" ref="BFU16" si="760">BFU11*0.0425</f>
        <v>0</v>
      </c>
      <c r="BFW16" s="238">
        <f t="shared" ref="BFW16" si="761">BFW11*0.0425</f>
        <v>0</v>
      </c>
      <c r="BFY16" s="238">
        <f t="shared" ref="BFY16" si="762">BFY11*0.0425</f>
        <v>0</v>
      </c>
      <c r="BGA16" s="238">
        <f t="shared" ref="BGA16" si="763">BGA11*0.0425</f>
        <v>0</v>
      </c>
      <c r="BGC16" s="238">
        <f t="shared" ref="BGC16" si="764">BGC11*0.0425</f>
        <v>0</v>
      </c>
      <c r="BGE16" s="238">
        <f t="shared" ref="BGE16" si="765">BGE11*0.0425</f>
        <v>0</v>
      </c>
      <c r="BGG16" s="238">
        <f t="shared" ref="BGG16" si="766">BGG11*0.0425</f>
        <v>0</v>
      </c>
      <c r="BGI16" s="238">
        <f t="shared" ref="BGI16" si="767">BGI11*0.0425</f>
        <v>0</v>
      </c>
      <c r="BGK16" s="238">
        <f t="shared" ref="BGK16" si="768">BGK11*0.0425</f>
        <v>0</v>
      </c>
      <c r="BGM16" s="238">
        <f t="shared" ref="BGM16" si="769">BGM11*0.0425</f>
        <v>0</v>
      </c>
      <c r="BGO16" s="238">
        <f t="shared" ref="BGO16" si="770">BGO11*0.0425</f>
        <v>0</v>
      </c>
      <c r="BGQ16" s="238">
        <f t="shared" ref="BGQ16" si="771">BGQ11*0.0425</f>
        <v>0</v>
      </c>
      <c r="BGS16" s="238">
        <f t="shared" ref="BGS16" si="772">BGS11*0.0425</f>
        <v>0</v>
      </c>
      <c r="BGU16" s="238">
        <f t="shared" ref="BGU16" si="773">BGU11*0.0425</f>
        <v>0</v>
      </c>
      <c r="BGW16" s="238">
        <f t="shared" ref="BGW16" si="774">BGW11*0.0425</f>
        <v>0</v>
      </c>
      <c r="BGY16" s="238">
        <f t="shared" ref="BGY16" si="775">BGY11*0.0425</f>
        <v>0</v>
      </c>
      <c r="BHA16" s="238">
        <f t="shared" ref="BHA16" si="776">BHA11*0.0425</f>
        <v>0</v>
      </c>
      <c r="BHC16" s="238">
        <f t="shared" ref="BHC16" si="777">BHC11*0.0425</f>
        <v>0</v>
      </c>
      <c r="BHE16" s="238">
        <f t="shared" ref="BHE16" si="778">BHE11*0.0425</f>
        <v>0</v>
      </c>
      <c r="BHG16" s="238">
        <f t="shared" ref="BHG16" si="779">BHG11*0.0425</f>
        <v>0</v>
      </c>
      <c r="BHI16" s="238">
        <f t="shared" ref="BHI16" si="780">BHI11*0.0425</f>
        <v>0</v>
      </c>
      <c r="BHK16" s="238">
        <f t="shared" ref="BHK16" si="781">BHK11*0.0425</f>
        <v>0</v>
      </c>
      <c r="BHM16" s="238">
        <f t="shared" ref="BHM16" si="782">BHM11*0.0425</f>
        <v>0</v>
      </c>
      <c r="BHO16" s="238">
        <f t="shared" ref="BHO16" si="783">BHO11*0.0425</f>
        <v>0</v>
      </c>
      <c r="BHQ16" s="238">
        <f t="shared" ref="BHQ16" si="784">BHQ11*0.0425</f>
        <v>0</v>
      </c>
      <c r="BHS16" s="238">
        <f t="shared" ref="BHS16" si="785">BHS11*0.0425</f>
        <v>0</v>
      </c>
      <c r="BHU16" s="238">
        <f t="shared" ref="BHU16" si="786">BHU11*0.0425</f>
        <v>0</v>
      </c>
      <c r="BHW16" s="238">
        <f t="shared" ref="BHW16" si="787">BHW11*0.0425</f>
        <v>0</v>
      </c>
      <c r="BHY16" s="238">
        <f t="shared" ref="BHY16" si="788">BHY11*0.0425</f>
        <v>0</v>
      </c>
      <c r="BIA16" s="238">
        <f t="shared" ref="BIA16" si="789">BIA11*0.0425</f>
        <v>0</v>
      </c>
      <c r="BIC16" s="238">
        <f t="shared" ref="BIC16" si="790">BIC11*0.0425</f>
        <v>0</v>
      </c>
      <c r="BIE16" s="238">
        <f t="shared" ref="BIE16" si="791">BIE11*0.0425</f>
        <v>0</v>
      </c>
      <c r="BIG16" s="238">
        <f t="shared" ref="BIG16" si="792">BIG11*0.0425</f>
        <v>0</v>
      </c>
      <c r="BII16" s="238">
        <f t="shared" ref="BII16" si="793">BII11*0.0425</f>
        <v>0</v>
      </c>
      <c r="BIK16" s="238">
        <f t="shared" ref="BIK16" si="794">BIK11*0.0425</f>
        <v>0</v>
      </c>
      <c r="BIM16" s="238">
        <f t="shared" ref="BIM16" si="795">BIM11*0.0425</f>
        <v>0</v>
      </c>
      <c r="BIO16" s="238">
        <f t="shared" ref="BIO16" si="796">BIO11*0.0425</f>
        <v>0</v>
      </c>
      <c r="BIQ16" s="238">
        <f t="shared" ref="BIQ16" si="797">BIQ11*0.0425</f>
        <v>0</v>
      </c>
      <c r="BIS16" s="238">
        <f t="shared" ref="BIS16" si="798">BIS11*0.0425</f>
        <v>0</v>
      </c>
      <c r="BIU16" s="238">
        <f t="shared" ref="BIU16" si="799">BIU11*0.0425</f>
        <v>0</v>
      </c>
      <c r="BIW16" s="238">
        <f t="shared" ref="BIW16" si="800">BIW11*0.0425</f>
        <v>0</v>
      </c>
      <c r="BIY16" s="238">
        <f t="shared" ref="BIY16" si="801">BIY11*0.0425</f>
        <v>0</v>
      </c>
      <c r="BJA16" s="238">
        <f t="shared" ref="BJA16" si="802">BJA11*0.0425</f>
        <v>0</v>
      </c>
      <c r="BJC16" s="238">
        <f t="shared" ref="BJC16" si="803">BJC11*0.0425</f>
        <v>0</v>
      </c>
      <c r="BJE16" s="238">
        <f t="shared" ref="BJE16" si="804">BJE11*0.0425</f>
        <v>0</v>
      </c>
      <c r="BJG16" s="238">
        <f t="shared" ref="BJG16" si="805">BJG11*0.0425</f>
        <v>0</v>
      </c>
      <c r="BJI16" s="238">
        <f t="shared" ref="BJI16" si="806">BJI11*0.0425</f>
        <v>0</v>
      </c>
      <c r="BJK16" s="238">
        <f t="shared" ref="BJK16" si="807">BJK11*0.0425</f>
        <v>0</v>
      </c>
      <c r="BJM16" s="238">
        <f t="shared" ref="BJM16" si="808">BJM11*0.0425</f>
        <v>0</v>
      </c>
      <c r="BJO16" s="238">
        <f t="shared" ref="BJO16" si="809">BJO11*0.0425</f>
        <v>0</v>
      </c>
      <c r="BJQ16" s="238">
        <f t="shared" ref="BJQ16" si="810">BJQ11*0.0425</f>
        <v>0</v>
      </c>
      <c r="BJS16" s="238">
        <f t="shared" ref="BJS16" si="811">BJS11*0.0425</f>
        <v>0</v>
      </c>
      <c r="BJU16" s="238">
        <f t="shared" ref="BJU16" si="812">BJU11*0.0425</f>
        <v>0</v>
      </c>
      <c r="BJW16" s="238">
        <f t="shared" ref="BJW16" si="813">BJW11*0.0425</f>
        <v>0</v>
      </c>
      <c r="BJY16" s="238">
        <f t="shared" ref="BJY16" si="814">BJY11*0.0425</f>
        <v>0</v>
      </c>
      <c r="BKA16" s="238">
        <f t="shared" ref="BKA16" si="815">BKA11*0.0425</f>
        <v>0</v>
      </c>
      <c r="BKC16" s="238">
        <f t="shared" ref="BKC16" si="816">BKC11*0.0425</f>
        <v>0</v>
      </c>
      <c r="BKE16" s="238">
        <f t="shared" ref="BKE16" si="817">BKE11*0.0425</f>
        <v>0</v>
      </c>
      <c r="BKG16" s="238">
        <f t="shared" ref="BKG16" si="818">BKG11*0.0425</f>
        <v>0</v>
      </c>
      <c r="BKI16" s="238">
        <f t="shared" ref="BKI16" si="819">BKI11*0.0425</f>
        <v>0</v>
      </c>
      <c r="BKK16" s="238">
        <f t="shared" ref="BKK16" si="820">BKK11*0.0425</f>
        <v>0</v>
      </c>
      <c r="BKM16" s="238">
        <f t="shared" ref="BKM16" si="821">BKM11*0.0425</f>
        <v>0</v>
      </c>
      <c r="BKO16" s="238">
        <f t="shared" ref="BKO16" si="822">BKO11*0.0425</f>
        <v>0</v>
      </c>
      <c r="BKQ16" s="238">
        <f t="shared" ref="BKQ16" si="823">BKQ11*0.0425</f>
        <v>0</v>
      </c>
      <c r="BKS16" s="238">
        <f t="shared" ref="BKS16" si="824">BKS11*0.0425</f>
        <v>0</v>
      </c>
      <c r="BKU16" s="238">
        <f t="shared" ref="BKU16" si="825">BKU11*0.0425</f>
        <v>0</v>
      </c>
      <c r="BKW16" s="238">
        <f t="shared" ref="BKW16" si="826">BKW11*0.0425</f>
        <v>0</v>
      </c>
      <c r="BKY16" s="238">
        <f t="shared" ref="BKY16" si="827">BKY11*0.0425</f>
        <v>0</v>
      </c>
      <c r="BLA16" s="238">
        <f t="shared" ref="BLA16" si="828">BLA11*0.0425</f>
        <v>0</v>
      </c>
      <c r="BLC16" s="238">
        <f t="shared" ref="BLC16" si="829">BLC11*0.0425</f>
        <v>0</v>
      </c>
      <c r="BLE16" s="238">
        <f t="shared" ref="BLE16" si="830">BLE11*0.0425</f>
        <v>0</v>
      </c>
      <c r="BLG16" s="238">
        <f t="shared" ref="BLG16" si="831">BLG11*0.0425</f>
        <v>0</v>
      </c>
      <c r="BLI16" s="238">
        <f t="shared" ref="BLI16" si="832">BLI11*0.0425</f>
        <v>0</v>
      </c>
      <c r="BLK16" s="238">
        <f t="shared" ref="BLK16" si="833">BLK11*0.0425</f>
        <v>0</v>
      </c>
      <c r="BLM16" s="238">
        <f t="shared" ref="BLM16" si="834">BLM11*0.0425</f>
        <v>0</v>
      </c>
      <c r="BLO16" s="238">
        <f t="shared" ref="BLO16" si="835">BLO11*0.0425</f>
        <v>0</v>
      </c>
      <c r="BLQ16" s="238">
        <f t="shared" ref="BLQ16" si="836">BLQ11*0.0425</f>
        <v>0</v>
      </c>
      <c r="BLS16" s="238">
        <f t="shared" ref="BLS16" si="837">BLS11*0.0425</f>
        <v>0</v>
      </c>
      <c r="BLU16" s="238">
        <f t="shared" ref="BLU16" si="838">BLU11*0.0425</f>
        <v>0</v>
      </c>
      <c r="BLW16" s="238">
        <f t="shared" ref="BLW16" si="839">BLW11*0.0425</f>
        <v>0</v>
      </c>
      <c r="BLY16" s="238">
        <f t="shared" ref="BLY16" si="840">BLY11*0.0425</f>
        <v>0</v>
      </c>
      <c r="BMA16" s="238">
        <f t="shared" ref="BMA16" si="841">BMA11*0.0425</f>
        <v>0</v>
      </c>
      <c r="BMC16" s="238">
        <f t="shared" ref="BMC16" si="842">BMC11*0.0425</f>
        <v>0</v>
      </c>
      <c r="BME16" s="238">
        <f t="shared" ref="BME16" si="843">BME11*0.0425</f>
        <v>0</v>
      </c>
      <c r="BMG16" s="238">
        <f t="shared" ref="BMG16" si="844">BMG11*0.0425</f>
        <v>0</v>
      </c>
      <c r="BMI16" s="238">
        <f t="shared" ref="BMI16" si="845">BMI11*0.0425</f>
        <v>0</v>
      </c>
      <c r="BMK16" s="238">
        <f t="shared" ref="BMK16" si="846">BMK11*0.0425</f>
        <v>0</v>
      </c>
      <c r="BMM16" s="238">
        <f t="shared" ref="BMM16" si="847">BMM11*0.0425</f>
        <v>0</v>
      </c>
      <c r="BMO16" s="238">
        <f t="shared" ref="BMO16" si="848">BMO11*0.0425</f>
        <v>0</v>
      </c>
      <c r="BMQ16" s="238">
        <f t="shared" ref="BMQ16" si="849">BMQ11*0.0425</f>
        <v>0</v>
      </c>
      <c r="BMS16" s="238">
        <f t="shared" ref="BMS16" si="850">BMS11*0.0425</f>
        <v>0</v>
      </c>
      <c r="BMU16" s="238">
        <f t="shared" ref="BMU16" si="851">BMU11*0.0425</f>
        <v>0</v>
      </c>
      <c r="BMW16" s="238">
        <f t="shared" ref="BMW16" si="852">BMW11*0.0425</f>
        <v>0</v>
      </c>
      <c r="BMY16" s="238">
        <f t="shared" ref="BMY16" si="853">BMY11*0.0425</f>
        <v>0</v>
      </c>
      <c r="BNA16" s="238">
        <f t="shared" ref="BNA16" si="854">BNA11*0.0425</f>
        <v>0</v>
      </c>
      <c r="BNC16" s="238">
        <f t="shared" ref="BNC16" si="855">BNC11*0.0425</f>
        <v>0</v>
      </c>
      <c r="BNE16" s="238">
        <f t="shared" ref="BNE16" si="856">BNE11*0.0425</f>
        <v>0</v>
      </c>
      <c r="BNG16" s="238">
        <f t="shared" ref="BNG16" si="857">BNG11*0.0425</f>
        <v>0</v>
      </c>
      <c r="BNI16" s="238">
        <f t="shared" ref="BNI16" si="858">BNI11*0.0425</f>
        <v>0</v>
      </c>
      <c r="BNK16" s="238">
        <f t="shared" ref="BNK16" si="859">BNK11*0.0425</f>
        <v>0</v>
      </c>
      <c r="BNM16" s="238">
        <f t="shared" ref="BNM16" si="860">BNM11*0.0425</f>
        <v>0</v>
      </c>
      <c r="BNO16" s="238">
        <f t="shared" ref="BNO16" si="861">BNO11*0.0425</f>
        <v>0</v>
      </c>
      <c r="BNQ16" s="238">
        <f t="shared" ref="BNQ16" si="862">BNQ11*0.0425</f>
        <v>0</v>
      </c>
      <c r="BNS16" s="238">
        <f t="shared" ref="BNS16" si="863">BNS11*0.0425</f>
        <v>0</v>
      </c>
      <c r="BNU16" s="238">
        <f t="shared" ref="BNU16" si="864">BNU11*0.0425</f>
        <v>0</v>
      </c>
      <c r="BNW16" s="238">
        <f t="shared" ref="BNW16" si="865">BNW11*0.0425</f>
        <v>0</v>
      </c>
      <c r="BNY16" s="238">
        <f t="shared" ref="BNY16" si="866">BNY11*0.0425</f>
        <v>0</v>
      </c>
      <c r="BOA16" s="238">
        <f t="shared" ref="BOA16" si="867">BOA11*0.0425</f>
        <v>0</v>
      </c>
      <c r="BOC16" s="238">
        <f t="shared" ref="BOC16" si="868">BOC11*0.0425</f>
        <v>0</v>
      </c>
      <c r="BOE16" s="238">
        <f t="shared" ref="BOE16" si="869">BOE11*0.0425</f>
        <v>0</v>
      </c>
      <c r="BOG16" s="238">
        <f t="shared" ref="BOG16" si="870">BOG11*0.0425</f>
        <v>0</v>
      </c>
      <c r="BOI16" s="238">
        <f t="shared" ref="BOI16" si="871">BOI11*0.0425</f>
        <v>0</v>
      </c>
      <c r="BOK16" s="238">
        <f t="shared" ref="BOK16" si="872">BOK11*0.0425</f>
        <v>0</v>
      </c>
      <c r="BOM16" s="238">
        <f t="shared" ref="BOM16" si="873">BOM11*0.0425</f>
        <v>0</v>
      </c>
      <c r="BOO16" s="238">
        <f t="shared" ref="BOO16" si="874">BOO11*0.0425</f>
        <v>0</v>
      </c>
      <c r="BOQ16" s="238">
        <f t="shared" ref="BOQ16" si="875">BOQ11*0.0425</f>
        <v>0</v>
      </c>
      <c r="BOS16" s="238">
        <f t="shared" ref="BOS16" si="876">BOS11*0.0425</f>
        <v>0</v>
      </c>
      <c r="BOU16" s="238">
        <f t="shared" ref="BOU16" si="877">BOU11*0.0425</f>
        <v>0</v>
      </c>
      <c r="BOW16" s="238">
        <f t="shared" ref="BOW16" si="878">BOW11*0.0425</f>
        <v>0</v>
      </c>
      <c r="BOY16" s="238">
        <f t="shared" ref="BOY16" si="879">BOY11*0.0425</f>
        <v>0</v>
      </c>
      <c r="BPA16" s="238">
        <f t="shared" ref="BPA16" si="880">BPA11*0.0425</f>
        <v>0</v>
      </c>
      <c r="BPC16" s="238">
        <f t="shared" ref="BPC16" si="881">BPC11*0.0425</f>
        <v>0</v>
      </c>
      <c r="BPE16" s="238">
        <f t="shared" ref="BPE16" si="882">BPE11*0.0425</f>
        <v>0</v>
      </c>
      <c r="BPG16" s="238">
        <f t="shared" ref="BPG16" si="883">BPG11*0.0425</f>
        <v>0</v>
      </c>
      <c r="BPI16" s="238">
        <f t="shared" ref="BPI16" si="884">BPI11*0.0425</f>
        <v>0</v>
      </c>
      <c r="BPK16" s="238">
        <f t="shared" ref="BPK16" si="885">BPK11*0.0425</f>
        <v>0</v>
      </c>
      <c r="BPM16" s="238">
        <f t="shared" ref="BPM16" si="886">BPM11*0.0425</f>
        <v>0</v>
      </c>
      <c r="BPO16" s="238">
        <f t="shared" ref="BPO16" si="887">BPO11*0.0425</f>
        <v>0</v>
      </c>
      <c r="BPQ16" s="238">
        <f t="shared" ref="BPQ16" si="888">BPQ11*0.0425</f>
        <v>0</v>
      </c>
      <c r="BPS16" s="238">
        <f t="shared" ref="BPS16" si="889">BPS11*0.0425</f>
        <v>0</v>
      </c>
      <c r="BPU16" s="238">
        <f t="shared" ref="BPU16" si="890">BPU11*0.0425</f>
        <v>0</v>
      </c>
      <c r="BPW16" s="238">
        <f t="shared" ref="BPW16" si="891">BPW11*0.0425</f>
        <v>0</v>
      </c>
      <c r="BPY16" s="238">
        <f t="shared" ref="BPY16" si="892">BPY11*0.0425</f>
        <v>0</v>
      </c>
      <c r="BQA16" s="238">
        <f t="shared" ref="BQA16" si="893">BQA11*0.0425</f>
        <v>0</v>
      </c>
      <c r="BQC16" s="238">
        <f t="shared" ref="BQC16" si="894">BQC11*0.0425</f>
        <v>0</v>
      </c>
      <c r="BQE16" s="238">
        <f t="shared" ref="BQE16" si="895">BQE11*0.0425</f>
        <v>0</v>
      </c>
      <c r="BQG16" s="238">
        <f t="shared" ref="BQG16" si="896">BQG11*0.0425</f>
        <v>0</v>
      </c>
      <c r="BQI16" s="238">
        <f t="shared" ref="BQI16" si="897">BQI11*0.0425</f>
        <v>0</v>
      </c>
      <c r="BQK16" s="238">
        <f t="shared" ref="BQK16" si="898">BQK11*0.0425</f>
        <v>0</v>
      </c>
      <c r="BQM16" s="238">
        <f t="shared" ref="BQM16" si="899">BQM11*0.0425</f>
        <v>0</v>
      </c>
      <c r="BQO16" s="238">
        <f t="shared" ref="BQO16" si="900">BQO11*0.0425</f>
        <v>0</v>
      </c>
      <c r="BQQ16" s="238">
        <f t="shared" ref="BQQ16" si="901">BQQ11*0.0425</f>
        <v>0</v>
      </c>
      <c r="BQS16" s="238">
        <f t="shared" ref="BQS16" si="902">BQS11*0.0425</f>
        <v>0</v>
      </c>
      <c r="BQU16" s="238">
        <f t="shared" ref="BQU16" si="903">BQU11*0.0425</f>
        <v>0</v>
      </c>
      <c r="BQW16" s="238">
        <f t="shared" ref="BQW16" si="904">BQW11*0.0425</f>
        <v>0</v>
      </c>
      <c r="BQY16" s="238">
        <f t="shared" ref="BQY16" si="905">BQY11*0.0425</f>
        <v>0</v>
      </c>
      <c r="BRA16" s="238">
        <f t="shared" ref="BRA16" si="906">BRA11*0.0425</f>
        <v>0</v>
      </c>
      <c r="BRC16" s="238">
        <f t="shared" ref="BRC16" si="907">BRC11*0.0425</f>
        <v>0</v>
      </c>
      <c r="BRE16" s="238">
        <f t="shared" ref="BRE16" si="908">BRE11*0.0425</f>
        <v>0</v>
      </c>
      <c r="BRG16" s="238">
        <f t="shared" ref="BRG16" si="909">BRG11*0.0425</f>
        <v>0</v>
      </c>
      <c r="BRI16" s="238">
        <f t="shared" ref="BRI16" si="910">BRI11*0.0425</f>
        <v>0</v>
      </c>
      <c r="BRK16" s="238">
        <f t="shared" ref="BRK16" si="911">BRK11*0.0425</f>
        <v>0</v>
      </c>
      <c r="BRM16" s="238">
        <f t="shared" ref="BRM16" si="912">BRM11*0.0425</f>
        <v>0</v>
      </c>
      <c r="BRO16" s="238">
        <f t="shared" ref="BRO16" si="913">BRO11*0.0425</f>
        <v>0</v>
      </c>
      <c r="BRQ16" s="238">
        <f t="shared" ref="BRQ16" si="914">BRQ11*0.0425</f>
        <v>0</v>
      </c>
      <c r="BRS16" s="238">
        <f t="shared" ref="BRS16" si="915">BRS11*0.0425</f>
        <v>0</v>
      </c>
      <c r="BRU16" s="238">
        <f t="shared" ref="BRU16" si="916">BRU11*0.0425</f>
        <v>0</v>
      </c>
      <c r="BRW16" s="238">
        <f t="shared" ref="BRW16" si="917">BRW11*0.0425</f>
        <v>0</v>
      </c>
      <c r="BRY16" s="238">
        <f t="shared" ref="BRY16" si="918">BRY11*0.0425</f>
        <v>0</v>
      </c>
      <c r="BSA16" s="238">
        <f t="shared" ref="BSA16" si="919">BSA11*0.0425</f>
        <v>0</v>
      </c>
      <c r="BSC16" s="238">
        <f t="shared" ref="BSC16" si="920">BSC11*0.0425</f>
        <v>0</v>
      </c>
      <c r="BSE16" s="238">
        <f t="shared" ref="BSE16" si="921">BSE11*0.0425</f>
        <v>0</v>
      </c>
      <c r="BSG16" s="238">
        <f t="shared" ref="BSG16" si="922">BSG11*0.0425</f>
        <v>0</v>
      </c>
      <c r="BSI16" s="238">
        <f t="shared" ref="BSI16" si="923">BSI11*0.0425</f>
        <v>0</v>
      </c>
      <c r="BSK16" s="238">
        <f t="shared" ref="BSK16" si="924">BSK11*0.0425</f>
        <v>0</v>
      </c>
      <c r="BSM16" s="238">
        <f t="shared" ref="BSM16" si="925">BSM11*0.0425</f>
        <v>0</v>
      </c>
      <c r="BSO16" s="238">
        <f t="shared" ref="BSO16" si="926">BSO11*0.0425</f>
        <v>0</v>
      </c>
      <c r="BSQ16" s="238">
        <f t="shared" ref="BSQ16" si="927">BSQ11*0.0425</f>
        <v>0</v>
      </c>
      <c r="BSS16" s="238">
        <f t="shared" ref="BSS16" si="928">BSS11*0.0425</f>
        <v>0</v>
      </c>
      <c r="BSU16" s="238">
        <f t="shared" ref="BSU16" si="929">BSU11*0.0425</f>
        <v>0</v>
      </c>
      <c r="BSW16" s="238">
        <f t="shared" ref="BSW16" si="930">BSW11*0.0425</f>
        <v>0</v>
      </c>
      <c r="BSY16" s="238">
        <f t="shared" ref="BSY16" si="931">BSY11*0.0425</f>
        <v>0</v>
      </c>
      <c r="BTA16" s="238">
        <f t="shared" ref="BTA16" si="932">BTA11*0.0425</f>
        <v>0</v>
      </c>
      <c r="BTC16" s="238">
        <f t="shared" ref="BTC16" si="933">BTC11*0.0425</f>
        <v>0</v>
      </c>
      <c r="BTE16" s="238">
        <f t="shared" ref="BTE16" si="934">BTE11*0.0425</f>
        <v>0</v>
      </c>
      <c r="BTG16" s="238">
        <f t="shared" ref="BTG16" si="935">BTG11*0.0425</f>
        <v>0</v>
      </c>
      <c r="BTI16" s="238">
        <f t="shared" ref="BTI16" si="936">BTI11*0.0425</f>
        <v>0</v>
      </c>
      <c r="BTK16" s="238">
        <f t="shared" ref="BTK16" si="937">BTK11*0.0425</f>
        <v>0</v>
      </c>
      <c r="BTM16" s="238">
        <f t="shared" ref="BTM16" si="938">BTM11*0.0425</f>
        <v>0</v>
      </c>
      <c r="BTO16" s="238">
        <f t="shared" ref="BTO16" si="939">BTO11*0.0425</f>
        <v>0</v>
      </c>
      <c r="BTQ16" s="238">
        <f t="shared" ref="BTQ16" si="940">BTQ11*0.0425</f>
        <v>0</v>
      </c>
      <c r="BTS16" s="238">
        <f t="shared" ref="BTS16" si="941">BTS11*0.0425</f>
        <v>0</v>
      </c>
      <c r="BTU16" s="238">
        <f t="shared" ref="BTU16" si="942">BTU11*0.0425</f>
        <v>0</v>
      </c>
      <c r="BTW16" s="238">
        <f t="shared" ref="BTW16" si="943">BTW11*0.0425</f>
        <v>0</v>
      </c>
      <c r="BTY16" s="238">
        <f t="shared" ref="BTY16" si="944">BTY11*0.0425</f>
        <v>0</v>
      </c>
      <c r="BUA16" s="238">
        <f t="shared" ref="BUA16" si="945">BUA11*0.0425</f>
        <v>0</v>
      </c>
      <c r="BUC16" s="238">
        <f t="shared" ref="BUC16" si="946">BUC11*0.0425</f>
        <v>0</v>
      </c>
      <c r="BUE16" s="238">
        <f t="shared" ref="BUE16" si="947">BUE11*0.0425</f>
        <v>0</v>
      </c>
      <c r="BUG16" s="238">
        <f t="shared" ref="BUG16" si="948">BUG11*0.0425</f>
        <v>0</v>
      </c>
      <c r="BUI16" s="238">
        <f t="shared" ref="BUI16" si="949">BUI11*0.0425</f>
        <v>0</v>
      </c>
      <c r="BUK16" s="238">
        <f t="shared" ref="BUK16" si="950">BUK11*0.0425</f>
        <v>0</v>
      </c>
      <c r="BUM16" s="238">
        <f t="shared" ref="BUM16" si="951">BUM11*0.0425</f>
        <v>0</v>
      </c>
      <c r="BUO16" s="238">
        <f t="shared" ref="BUO16" si="952">BUO11*0.0425</f>
        <v>0</v>
      </c>
      <c r="BUQ16" s="238">
        <f t="shared" ref="BUQ16" si="953">BUQ11*0.0425</f>
        <v>0</v>
      </c>
      <c r="BUS16" s="238">
        <f t="shared" ref="BUS16" si="954">BUS11*0.0425</f>
        <v>0</v>
      </c>
      <c r="BUU16" s="238">
        <f t="shared" ref="BUU16" si="955">BUU11*0.0425</f>
        <v>0</v>
      </c>
      <c r="BUW16" s="238">
        <f t="shared" ref="BUW16" si="956">BUW11*0.0425</f>
        <v>0</v>
      </c>
      <c r="BUY16" s="238">
        <f t="shared" ref="BUY16" si="957">BUY11*0.0425</f>
        <v>0</v>
      </c>
      <c r="BVA16" s="238">
        <f t="shared" ref="BVA16" si="958">BVA11*0.0425</f>
        <v>0</v>
      </c>
      <c r="BVC16" s="238">
        <f t="shared" ref="BVC16" si="959">BVC11*0.0425</f>
        <v>0</v>
      </c>
      <c r="BVE16" s="238">
        <f t="shared" ref="BVE16" si="960">BVE11*0.0425</f>
        <v>0</v>
      </c>
      <c r="BVG16" s="238">
        <f t="shared" ref="BVG16" si="961">BVG11*0.0425</f>
        <v>0</v>
      </c>
      <c r="BVI16" s="238">
        <f t="shared" ref="BVI16" si="962">BVI11*0.0425</f>
        <v>0</v>
      </c>
      <c r="BVK16" s="238">
        <f t="shared" ref="BVK16" si="963">BVK11*0.0425</f>
        <v>0</v>
      </c>
      <c r="BVM16" s="238">
        <f t="shared" ref="BVM16" si="964">BVM11*0.0425</f>
        <v>0</v>
      </c>
      <c r="BVO16" s="238">
        <f t="shared" ref="BVO16" si="965">BVO11*0.0425</f>
        <v>0</v>
      </c>
      <c r="BVQ16" s="238">
        <f t="shared" ref="BVQ16" si="966">BVQ11*0.0425</f>
        <v>0</v>
      </c>
      <c r="BVS16" s="238">
        <f t="shared" ref="BVS16" si="967">BVS11*0.0425</f>
        <v>0</v>
      </c>
      <c r="BVU16" s="238">
        <f t="shared" ref="BVU16" si="968">BVU11*0.0425</f>
        <v>0</v>
      </c>
      <c r="BVW16" s="238">
        <f t="shared" ref="BVW16" si="969">BVW11*0.0425</f>
        <v>0</v>
      </c>
      <c r="BVY16" s="238">
        <f t="shared" ref="BVY16" si="970">BVY11*0.0425</f>
        <v>0</v>
      </c>
      <c r="BWA16" s="238">
        <f t="shared" ref="BWA16" si="971">BWA11*0.0425</f>
        <v>0</v>
      </c>
      <c r="BWC16" s="238">
        <f t="shared" ref="BWC16" si="972">BWC11*0.0425</f>
        <v>0</v>
      </c>
      <c r="BWE16" s="238">
        <f t="shared" ref="BWE16" si="973">BWE11*0.0425</f>
        <v>0</v>
      </c>
      <c r="BWG16" s="238">
        <f t="shared" ref="BWG16" si="974">BWG11*0.0425</f>
        <v>0</v>
      </c>
      <c r="BWI16" s="238">
        <f t="shared" ref="BWI16" si="975">BWI11*0.0425</f>
        <v>0</v>
      </c>
      <c r="BWK16" s="238">
        <f t="shared" ref="BWK16" si="976">BWK11*0.0425</f>
        <v>0</v>
      </c>
      <c r="BWM16" s="238">
        <f t="shared" ref="BWM16" si="977">BWM11*0.0425</f>
        <v>0</v>
      </c>
      <c r="BWO16" s="238">
        <f t="shared" ref="BWO16" si="978">BWO11*0.0425</f>
        <v>0</v>
      </c>
      <c r="BWQ16" s="238">
        <f t="shared" ref="BWQ16" si="979">BWQ11*0.0425</f>
        <v>0</v>
      </c>
      <c r="BWS16" s="238">
        <f t="shared" ref="BWS16" si="980">BWS11*0.0425</f>
        <v>0</v>
      </c>
      <c r="BWU16" s="238">
        <f t="shared" ref="BWU16" si="981">BWU11*0.0425</f>
        <v>0</v>
      </c>
      <c r="BWW16" s="238">
        <f t="shared" ref="BWW16" si="982">BWW11*0.0425</f>
        <v>0</v>
      </c>
      <c r="BWY16" s="238">
        <f t="shared" ref="BWY16" si="983">BWY11*0.0425</f>
        <v>0</v>
      </c>
      <c r="BXA16" s="238">
        <f t="shared" ref="BXA16" si="984">BXA11*0.0425</f>
        <v>0</v>
      </c>
      <c r="BXC16" s="238">
        <f t="shared" ref="BXC16" si="985">BXC11*0.0425</f>
        <v>0</v>
      </c>
      <c r="BXE16" s="238">
        <f t="shared" ref="BXE16" si="986">BXE11*0.0425</f>
        <v>0</v>
      </c>
      <c r="BXG16" s="238">
        <f t="shared" ref="BXG16" si="987">BXG11*0.0425</f>
        <v>0</v>
      </c>
      <c r="BXI16" s="238">
        <f t="shared" ref="BXI16" si="988">BXI11*0.0425</f>
        <v>0</v>
      </c>
      <c r="BXK16" s="238">
        <f t="shared" ref="BXK16" si="989">BXK11*0.0425</f>
        <v>0</v>
      </c>
      <c r="BXM16" s="238">
        <f t="shared" ref="BXM16" si="990">BXM11*0.0425</f>
        <v>0</v>
      </c>
      <c r="BXO16" s="238">
        <f t="shared" ref="BXO16" si="991">BXO11*0.0425</f>
        <v>0</v>
      </c>
      <c r="BXQ16" s="238">
        <f t="shared" ref="BXQ16" si="992">BXQ11*0.0425</f>
        <v>0</v>
      </c>
      <c r="BXS16" s="238">
        <f t="shared" ref="BXS16" si="993">BXS11*0.0425</f>
        <v>0</v>
      </c>
      <c r="BXU16" s="238">
        <f t="shared" ref="BXU16" si="994">BXU11*0.0425</f>
        <v>0</v>
      </c>
      <c r="BXW16" s="238">
        <f t="shared" ref="BXW16" si="995">BXW11*0.0425</f>
        <v>0</v>
      </c>
      <c r="BXY16" s="238">
        <f t="shared" ref="BXY16" si="996">BXY11*0.0425</f>
        <v>0</v>
      </c>
      <c r="BYA16" s="238">
        <f t="shared" ref="BYA16" si="997">BYA11*0.0425</f>
        <v>0</v>
      </c>
      <c r="BYC16" s="238">
        <f t="shared" ref="BYC16" si="998">BYC11*0.0425</f>
        <v>0</v>
      </c>
      <c r="BYE16" s="238">
        <f t="shared" ref="BYE16" si="999">BYE11*0.0425</f>
        <v>0</v>
      </c>
      <c r="BYG16" s="238">
        <f t="shared" ref="BYG16" si="1000">BYG11*0.0425</f>
        <v>0</v>
      </c>
      <c r="BYI16" s="238">
        <f t="shared" ref="BYI16" si="1001">BYI11*0.0425</f>
        <v>0</v>
      </c>
      <c r="BYK16" s="238">
        <f t="shared" ref="BYK16" si="1002">BYK11*0.0425</f>
        <v>0</v>
      </c>
      <c r="BYM16" s="238">
        <f t="shared" ref="BYM16" si="1003">BYM11*0.0425</f>
        <v>0</v>
      </c>
      <c r="BYO16" s="238">
        <f t="shared" ref="BYO16" si="1004">BYO11*0.0425</f>
        <v>0</v>
      </c>
      <c r="BYQ16" s="238">
        <f t="shared" ref="BYQ16" si="1005">BYQ11*0.0425</f>
        <v>0</v>
      </c>
      <c r="BYS16" s="238">
        <f t="shared" ref="BYS16" si="1006">BYS11*0.0425</f>
        <v>0</v>
      </c>
      <c r="BYU16" s="238">
        <f t="shared" ref="BYU16" si="1007">BYU11*0.0425</f>
        <v>0</v>
      </c>
      <c r="BYW16" s="238">
        <f t="shared" ref="BYW16" si="1008">BYW11*0.0425</f>
        <v>0</v>
      </c>
      <c r="BYY16" s="238">
        <f t="shared" ref="BYY16" si="1009">BYY11*0.0425</f>
        <v>0</v>
      </c>
      <c r="BZA16" s="238">
        <f t="shared" ref="BZA16" si="1010">BZA11*0.0425</f>
        <v>0</v>
      </c>
      <c r="BZC16" s="238">
        <f t="shared" ref="BZC16" si="1011">BZC11*0.0425</f>
        <v>0</v>
      </c>
      <c r="BZE16" s="238">
        <f t="shared" ref="BZE16" si="1012">BZE11*0.0425</f>
        <v>0</v>
      </c>
      <c r="BZG16" s="238">
        <f t="shared" ref="BZG16" si="1013">BZG11*0.0425</f>
        <v>0</v>
      </c>
      <c r="BZI16" s="238">
        <f t="shared" ref="BZI16" si="1014">BZI11*0.0425</f>
        <v>0</v>
      </c>
      <c r="BZK16" s="238">
        <f t="shared" ref="BZK16" si="1015">BZK11*0.0425</f>
        <v>0</v>
      </c>
      <c r="BZM16" s="238">
        <f t="shared" ref="BZM16" si="1016">BZM11*0.0425</f>
        <v>0</v>
      </c>
      <c r="BZO16" s="238">
        <f t="shared" ref="BZO16" si="1017">BZO11*0.0425</f>
        <v>0</v>
      </c>
      <c r="BZQ16" s="238">
        <f t="shared" ref="BZQ16" si="1018">BZQ11*0.0425</f>
        <v>0</v>
      </c>
      <c r="BZS16" s="238">
        <f t="shared" ref="BZS16" si="1019">BZS11*0.0425</f>
        <v>0</v>
      </c>
      <c r="BZU16" s="238">
        <f t="shared" ref="BZU16" si="1020">BZU11*0.0425</f>
        <v>0</v>
      </c>
      <c r="BZW16" s="238">
        <f t="shared" ref="BZW16" si="1021">BZW11*0.0425</f>
        <v>0</v>
      </c>
      <c r="BZY16" s="238">
        <f t="shared" ref="BZY16" si="1022">BZY11*0.0425</f>
        <v>0</v>
      </c>
      <c r="CAA16" s="238">
        <f t="shared" ref="CAA16" si="1023">CAA11*0.0425</f>
        <v>0</v>
      </c>
      <c r="CAC16" s="238">
        <f t="shared" ref="CAC16" si="1024">CAC11*0.0425</f>
        <v>0</v>
      </c>
      <c r="CAE16" s="238">
        <f t="shared" ref="CAE16" si="1025">CAE11*0.0425</f>
        <v>0</v>
      </c>
      <c r="CAG16" s="238">
        <f t="shared" ref="CAG16" si="1026">CAG11*0.0425</f>
        <v>0</v>
      </c>
      <c r="CAI16" s="238">
        <f t="shared" ref="CAI16" si="1027">CAI11*0.0425</f>
        <v>0</v>
      </c>
      <c r="CAK16" s="238">
        <f t="shared" ref="CAK16" si="1028">CAK11*0.0425</f>
        <v>0</v>
      </c>
      <c r="CAM16" s="238">
        <f t="shared" ref="CAM16" si="1029">CAM11*0.0425</f>
        <v>0</v>
      </c>
      <c r="CAO16" s="238">
        <f t="shared" ref="CAO16" si="1030">CAO11*0.0425</f>
        <v>0</v>
      </c>
      <c r="CAQ16" s="238">
        <f t="shared" ref="CAQ16" si="1031">CAQ11*0.0425</f>
        <v>0</v>
      </c>
      <c r="CAS16" s="238">
        <f t="shared" ref="CAS16" si="1032">CAS11*0.0425</f>
        <v>0</v>
      </c>
      <c r="CAU16" s="238">
        <f t="shared" ref="CAU16" si="1033">CAU11*0.0425</f>
        <v>0</v>
      </c>
      <c r="CAW16" s="238">
        <f t="shared" ref="CAW16" si="1034">CAW11*0.0425</f>
        <v>0</v>
      </c>
      <c r="CAY16" s="238">
        <f t="shared" ref="CAY16" si="1035">CAY11*0.0425</f>
        <v>0</v>
      </c>
      <c r="CBA16" s="238">
        <f t="shared" ref="CBA16" si="1036">CBA11*0.0425</f>
        <v>0</v>
      </c>
      <c r="CBC16" s="238">
        <f t="shared" ref="CBC16" si="1037">CBC11*0.0425</f>
        <v>0</v>
      </c>
      <c r="CBE16" s="238">
        <f t="shared" ref="CBE16" si="1038">CBE11*0.0425</f>
        <v>0</v>
      </c>
      <c r="CBG16" s="238">
        <f t="shared" ref="CBG16" si="1039">CBG11*0.0425</f>
        <v>0</v>
      </c>
      <c r="CBI16" s="238">
        <f t="shared" ref="CBI16" si="1040">CBI11*0.0425</f>
        <v>0</v>
      </c>
      <c r="CBK16" s="238">
        <f t="shared" ref="CBK16" si="1041">CBK11*0.0425</f>
        <v>0</v>
      </c>
      <c r="CBM16" s="238">
        <f t="shared" ref="CBM16" si="1042">CBM11*0.0425</f>
        <v>0</v>
      </c>
      <c r="CBO16" s="238">
        <f t="shared" ref="CBO16" si="1043">CBO11*0.0425</f>
        <v>0</v>
      </c>
      <c r="CBQ16" s="238">
        <f t="shared" ref="CBQ16" si="1044">CBQ11*0.0425</f>
        <v>0</v>
      </c>
      <c r="CBS16" s="238">
        <f t="shared" ref="CBS16" si="1045">CBS11*0.0425</f>
        <v>0</v>
      </c>
      <c r="CBU16" s="238">
        <f t="shared" ref="CBU16" si="1046">CBU11*0.0425</f>
        <v>0</v>
      </c>
      <c r="CBW16" s="238">
        <f t="shared" ref="CBW16" si="1047">CBW11*0.0425</f>
        <v>0</v>
      </c>
      <c r="CBY16" s="238">
        <f t="shared" ref="CBY16" si="1048">CBY11*0.0425</f>
        <v>0</v>
      </c>
      <c r="CCA16" s="238">
        <f t="shared" ref="CCA16" si="1049">CCA11*0.0425</f>
        <v>0</v>
      </c>
      <c r="CCC16" s="238">
        <f t="shared" ref="CCC16" si="1050">CCC11*0.0425</f>
        <v>0</v>
      </c>
      <c r="CCE16" s="238">
        <f t="shared" ref="CCE16" si="1051">CCE11*0.0425</f>
        <v>0</v>
      </c>
      <c r="CCG16" s="238">
        <f t="shared" ref="CCG16" si="1052">CCG11*0.0425</f>
        <v>0</v>
      </c>
      <c r="CCI16" s="238">
        <f t="shared" ref="CCI16" si="1053">CCI11*0.0425</f>
        <v>0</v>
      </c>
      <c r="CCK16" s="238">
        <f t="shared" ref="CCK16" si="1054">CCK11*0.0425</f>
        <v>0</v>
      </c>
      <c r="CCM16" s="238">
        <f t="shared" ref="CCM16" si="1055">CCM11*0.0425</f>
        <v>0</v>
      </c>
      <c r="CCO16" s="238">
        <f t="shared" ref="CCO16" si="1056">CCO11*0.0425</f>
        <v>0</v>
      </c>
      <c r="CCQ16" s="238">
        <f t="shared" ref="CCQ16" si="1057">CCQ11*0.0425</f>
        <v>0</v>
      </c>
      <c r="CCS16" s="238">
        <f t="shared" ref="CCS16" si="1058">CCS11*0.0425</f>
        <v>0</v>
      </c>
      <c r="CCU16" s="238">
        <f t="shared" ref="CCU16" si="1059">CCU11*0.0425</f>
        <v>0</v>
      </c>
      <c r="CCW16" s="238">
        <f t="shared" ref="CCW16" si="1060">CCW11*0.0425</f>
        <v>0</v>
      </c>
      <c r="CCY16" s="238">
        <f t="shared" ref="CCY16" si="1061">CCY11*0.0425</f>
        <v>0</v>
      </c>
      <c r="CDA16" s="238">
        <f t="shared" ref="CDA16" si="1062">CDA11*0.0425</f>
        <v>0</v>
      </c>
      <c r="CDC16" s="238">
        <f t="shared" ref="CDC16" si="1063">CDC11*0.0425</f>
        <v>0</v>
      </c>
      <c r="CDE16" s="238">
        <f t="shared" ref="CDE16" si="1064">CDE11*0.0425</f>
        <v>0</v>
      </c>
      <c r="CDG16" s="238">
        <f t="shared" ref="CDG16" si="1065">CDG11*0.0425</f>
        <v>0</v>
      </c>
      <c r="CDI16" s="238">
        <f t="shared" ref="CDI16" si="1066">CDI11*0.0425</f>
        <v>0</v>
      </c>
      <c r="CDK16" s="238">
        <f t="shared" ref="CDK16" si="1067">CDK11*0.0425</f>
        <v>0</v>
      </c>
      <c r="CDM16" s="238">
        <f t="shared" ref="CDM16" si="1068">CDM11*0.0425</f>
        <v>0</v>
      </c>
      <c r="CDO16" s="238">
        <f t="shared" ref="CDO16" si="1069">CDO11*0.0425</f>
        <v>0</v>
      </c>
      <c r="CDQ16" s="238">
        <f t="shared" ref="CDQ16" si="1070">CDQ11*0.0425</f>
        <v>0</v>
      </c>
      <c r="CDS16" s="238">
        <f t="shared" ref="CDS16" si="1071">CDS11*0.0425</f>
        <v>0</v>
      </c>
      <c r="CDU16" s="238">
        <f t="shared" ref="CDU16" si="1072">CDU11*0.0425</f>
        <v>0</v>
      </c>
      <c r="CDW16" s="238">
        <f t="shared" ref="CDW16" si="1073">CDW11*0.0425</f>
        <v>0</v>
      </c>
      <c r="CDY16" s="238">
        <f t="shared" ref="CDY16" si="1074">CDY11*0.0425</f>
        <v>0</v>
      </c>
      <c r="CEA16" s="238">
        <f t="shared" ref="CEA16" si="1075">CEA11*0.0425</f>
        <v>0</v>
      </c>
      <c r="CEC16" s="238">
        <f t="shared" ref="CEC16" si="1076">CEC11*0.0425</f>
        <v>0</v>
      </c>
      <c r="CEE16" s="238">
        <f t="shared" ref="CEE16" si="1077">CEE11*0.0425</f>
        <v>0</v>
      </c>
      <c r="CEG16" s="238">
        <f t="shared" ref="CEG16" si="1078">CEG11*0.0425</f>
        <v>0</v>
      </c>
      <c r="CEI16" s="238">
        <f t="shared" ref="CEI16" si="1079">CEI11*0.0425</f>
        <v>0</v>
      </c>
      <c r="CEK16" s="238">
        <f t="shared" ref="CEK16" si="1080">CEK11*0.0425</f>
        <v>0</v>
      </c>
      <c r="CEM16" s="238">
        <f t="shared" ref="CEM16" si="1081">CEM11*0.0425</f>
        <v>0</v>
      </c>
      <c r="CEO16" s="238">
        <f t="shared" ref="CEO16" si="1082">CEO11*0.0425</f>
        <v>0</v>
      </c>
      <c r="CEQ16" s="238">
        <f t="shared" ref="CEQ16" si="1083">CEQ11*0.0425</f>
        <v>0</v>
      </c>
      <c r="CES16" s="238">
        <f t="shared" ref="CES16" si="1084">CES11*0.0425</f>
        <v>0</v>
      </c>
      <c r="CEU16" s="238">
        <f t="shared" ref="CEU16" si="1085">CEU11*0.0425</f>
        <v>0</v>
      </c>
      <c r="CEW16" s="238">
        <f t="shared" ref="CEW16" si="1086">CEW11*0.0425</f>
        <v>0</v>
      </c>
      <c r="CEY16" s="238">
        <f t="shared" ref="CEY16" si="1087">CEY11*0.0425</f>
        <v>0</v>
      </c>
      <c r="CFA16" s="238">
        <f t="shared" ref="CFA16" si="1088">CFA11*0.0425</f>
        <v>0</v>
      </c>
      <c r="CFC16" s="238">
        <f t="shared" ref="CFC16" si="1089">CFC11*0.0425</f>
        <v>0</v>
      </c>
      <c r="CFE16" s="238">
        <f t="shared" ref="CFE16" si="1090">CFE11*0.0425</f>
        <v>0</v>
      </c>
      <c r="CFG16" s="238">
        <f t="shared" ref="CFG16" si="1091">CFG11*0.0425</f>
        <v>0</v>
      </c>
      <c r="CFI16" s="238">
        <f t="shared" ref="CFI16" si="1092">CFI11*0.0425</f>
        <v>0</v>
      </c>
      <c r="CFK16" s="238">
        <f t="shared" ref="CFK16" si="1093">CFK11*0.0425</f>
        <v>0</v>
      </c>
      <c r="CFM16" s="238">
        <f t="shared" ref="CFM16" si="1094">CFM11*0.0425</f>
        <v>0</v>
      </c>
      <c r="CFO16" s="238">
        <f t="shared" ref="CFO16" si="1095">CFO11*0.0425</f>
        <v>0</v>
      </c>
      <c r="CFQ16" s="238">
        <f t="shared" ref="CFQ16" si="1096">CFQ11*0.0425</f>
        <v>0</v>
      </c>
      <c r="CFS16" s="238">
        <f t="shared" ref="CFS16" si="1097">CFS11*0.0425</f>
        <v>0</v>
      </c>
      <c r="CFU16" s="238">
        <f t="shared" ref="CFU16" si="1098">CFU11*0.0425</f>
        <v>0</v>
      </c>
      <c r="CFW16" s="238">
        <f t="shared" ref="CFW16" si="1099">CFW11*0.0425</f>
        <v>0</v>
      </c>
      <c r="CFY16" s="238">
        <f t="shared" ref="CFY16" si="1100">CFY11*0.0425</f>
        <v>0</v>
      </c>
      <c r="CGA16" s="238">
        <f t="shared" ref="CGA16" si="1101">CGA11*0.0425</f>
        <v>0</v>
      </c>
      <c r="CGC16" s="238">
        <f t="shared" ref="CGC16" si="1102">CGC11*0.0425</f>
        <v>0</v>
      </c>
      <c r="CGE16" s="238">
        <f t="shared" ref="CGE16" si="1103">CGE11*0.0425</f>
        <v>0</v>
      </c>
      <c r="CGG16" s="238">
        <f t="shared" ref="CGG16" si="1104">CGG11*0.0425</f>
        <v>0</v>
      </c>
      <c r="CGI16" s="238">
        <f t="shared" ref="CGI16" si="1105">CGI11*0.0425</f>
        <v>0</v>
      </c>
      <c r="CGK16" s="238">
        <f t="shared" ref="CGK16" si="1106">CGK11*0.0425</f>
        <v>0</v>
      </c>
      <c r="CGM16" s="238">
        <f t="shared" ref="CGM16" si="1107">CGM11*0.0425</f>
        <v>0</v>
      </c>
      <c r="CGO16" s="238">
        <f t="shared" ref="CGO16" si="1108">CGO11*0.0425</f>
        <v>0</v>
      </c>
      <c r="CGQ16" s="238">
        <f t="shared" ref="CGQ16" si="1109">CGQ11*0.0425</f>
        <v>0</v>
      </c>
      <c r="CGS16" s="238">
        <f t="shared" ref="CGS16" si="1110">CGS11*0.0425</f>
        <v>0</v>
      </c>
      <c r="CGU16" s="238">
        <f t="shared" ref="CGU16" si="1111">CGU11*0.0425</f>
        <v>0</v>
      </c>
      <c r="CGW16" s="238">
        <f t="shared" ref="CGW16" si="1112">CGW11*0.0425</f>
        <v>0</v>
      </c>
      <c r="CGY16" s="238">
        <f t="shared" ref="CGY16" si="1113">CGY11*0.0425</f>
        <v>0</v>
      </c>
      <c r="CHA16" s="238">
        <f t="shared" ref="CHA16" si="1114">CHA11*0.0425</f>
        <v>0</v>
      </c>
      <c r="CHC16" s="238">
        <f t="shared" ref="CHC16" si="1115">CHC11*0.0425</f>
        <v>0</v>
      </c>
      <c r="CHE16" s="238">
        <f t="shared" ref="CHE16" si="1116">CHE11*0.0425</f>
        <v>0</v>
      </c>
      <c r="CHG16" s="238">
        <f t="shared" ref="CHG16" si="1117">CHG11*0.0425</f>
        <v>0</v>
      </c>
      <c r="CHI16" s="238">
        <f t="shared" ref="CHI16" si="1118">CHI11*0.0425</f>
        <v>0</v>
      </c>
      <c r="CHK16" s="238">
        <f t="shared" ref="CHK16" si="1119">CHK11*0.0425</f>
        <v>0</v>
      </c>
      <c r="CHM16" s="238">
        <f t="shared" ref="CHM16" si="1120">CHM11*0.0425</f>
        <v>0</v>
      </c>
      <c r="CHO16" s="238">
        <f t="shared" ref="CHO16" si="1121">CHO11*0.0425</f>
        <v>0</v>
      </c>
      <c r="CHQ16" s="238">
        <f t="shared" ref="CHQ16" si="1122">CHQ11*0.0425</f>
        <v>0</v>
      </c>
      <c r="CHS16" s="238">
        <f t="shared" ref="CHS16" si="1123">CHS11*0.0425</f>
        <v>0</v>
      </c>
      <c r="CHU16" s="238">
        <f t="shared" ref="CHU16" si="1124">CHU11*0.0425</f>
        <v>0</v>
      </c>
      <c r="CHW16" s="238">
        <f t="shared" ref="CHW16" si="1125">CHW11*0.0425</f>
        <v>0</v>
      </c>
      <c r="CHY16" s="238">
        <f t="shared" ref="CHY16" si="1126">CHY11*0.0425</f>
        <v>0</v>
      </c>
      <c r="CIA16" s="238">
        <f t="shared" ref="CIA16" si="1127">CIA11*0.0425</f>
        <v>0</v>
      </c>
      <c r="CIC16" s="238">
        <f t="shared" ref="CIC16" si="1128">CIC11*0.0425</f>
        <v>0</v>
      </c>
      <c r="CIE16" s="238">
        <f t="shared" ref="CIE16" si="1129">CIE11*0.0425</f>
        <v>0</v>
      </c>
      <c r="CIG16" s="238">
        <f t="shared" ref="CIG16" si="1130">CIG11*0.0425</f>
        <v>0</v>
      </c>
      <c r="CII16" s="238">
        <f t="shared" ref="CII16" si="1131">CII11*0.0425</f>
        <v>0</v>
      </c>
      <c r="CIK16" s="238">
        <f t="shared" ref="CIK16" si="1132">CIK11*0.0425</f>
        <v>0</v>
      </c>
      <c r="CIM16" s="238">
        <f t="shared" ref="CIM16" si="1133">CIM11*0.0425</f>
        <v>0</v>
      </c>
      <c r="CIO16" s="238">
        <f t="shared" ref="CIO16" si="1134">CIO11*0.0425</f>
        <v>0</v>
      </c>
      <c r="CIQ16" s="238">
        <f t="shared" ref="CIQ16" si="1135">CIQ11*0.0425</f>
        <v>0</v>
      </c>
      <c r="CIS16" s="238">
        <f t="shared" ref="CIS16" si="1136">CIS11*0.0425</f>
        <v>0</v>
      </c>
      <c r="CIU16" s="238">
        <f t="shared" ref="CIU16" si="1137">CIU11*0.0425</f>
        <v>0</v>
      </c>
      <c r="CIW16" s="238">
        <f t="shared" ref="CIW16" si="1138">CIW11*0.0425</f>
        <v>0</v>
      </c>
      <c r="CIY16" s="238">
        <f t="shared" ref="CIY16" si="1139">CIY11*0.0425</f>
        <v>0</v>
      </c>
      <c r="CJA16" s="238">
        <f t="shared" ref="CJA16" si="1140">CJA11*0.0425</f>
        <v>0</v>
      </c>
      <c r="CJC16" s="238">
        <f t="shared" ref="CJC16" si="1141">CJC11*0.0425</f>
        <v>0</v>
      </c>
      <c r="CJE16" s="238">
        <f t="shared" ref="CJE16" si="1142">CJE11*0.0425</f>
        <v>0</v>
      </c>
      <c r="CJG16" s="238">
        <f t="shared" ref="CJG16" si="1143">CJG11*0.0425</f>
        <v>0</v>
      </c>
      <c r="CJI16" s="238">
        <f t="shared" ref="CJI16" si="1144">CJI11*0.0425</f>
        <v>0</v>
      </c>
      <c r="CJK16" s="238">
        <f t="shared" ref="CJK16" si="1145">CJK11*0.0425</f>
        <v>0</v>
      </c>
      <c r="CJM16" s="238">
        <f t="shared" ref="CJM16" si="1146">CJM11*0.0425</f>
        <v>0</v>
      </c>
      <c r="CJO16" s="238">
        <f t="shared" ref="CJO16" si="1147">CJO11*0.0425</f>
        <v>0</v>
      </c>
      <c r="CJQ16" s="238">
        <f t="shared" ref="CJQ16" si="1148">CJQ11*0.0425</f>
        <v>0</v>
      </c>
      <c r="CJS16" s="238">
        <f t="shared" ref="CJS16" si="1149">CJS11*0.0425</f>
        <v>0</v>
      </c>
      <c r="CJU16" s="238">
        <f t="shared" ref="CJU16" si="1150">CJU11*0.0425</f>
        <v>0</v>
      </c>
      <c r="CJW16" s="238">
        <f t="shared" ref="CJW16" si="1151">CJW11*0.0425</f>
        <v>0</v>
      </c>
      <c r="CJY16" s="238">
        <f t="shared" ref="CJY16" si="1152">CJY11*0.0425</f>
        <v>0</v>
      </c>
      <c r="CKA16" s="238">
        <f t="shared" ref="CKA16" si="1153">CKA11*0.0425</f>
        <v>0</v>
      </c>
      <c r="CKC16" s="238">
        <f t="shared" ref="CKC16" si="1154">CKC11*0.0425</f>
        <v>0</v>
      </c>
      <c r="CKE16" s="238">
        <f t="shared" ref="CKE16" si="1155">CKE11*0.0425</f>
        <v>0</v>
      </c>
      <c r="CKG16" s="238">
        <f t="shared" ref="CKG16" si="1156">CKG11*0.0425</f>
        <v>0</v>
      </c>
      <c r="CKI16" s="238">
        <f t="shared" ref="CKI16" si="1157">CKI11*0.0425</f>
        <v>0</v>
      </c>
      <c r="CKK16" s="238">
        <f t="shared" ref="CKK16" si="1158">CKK11*0.0425</f>
        <v>0</v>
      </c>
      <c r="CKM16" s="238">
        <f t="shared" ref="CKM16" si="1159">CKM11*0.0425</f>
        <v>0</v>
      </c>
      <c r="CKO16" s="238">
        <f t="shared" ref="CKO16" si="1160">CKO11*0.0425</f>
        <v>0</v>
      </c>
      <c r="CKQ16" s="238">
        <f t="shared" ref="CKQ16" si="1161">CKQ11*0.0425</f>
        <v>0</v>
      </c>
      <c r="CKS16" s="238">
        <f t="shared" ref="CKS16" si="1162">CKS11*0.0425</f>
        <v>0</v>
      </c>
      <c r="CKU16" s="238">
        <f t="shared" ref="CKU16" si="1163">CKU11*0.0425</f>
        <v>0</v>
      </c>
      <c r="CKW16" s="238">
        <f t="shared" ref="CKW16" si="1164">CKW11*0.0425</f>
        <v>0</v>
      </c>
      <c r="CKY16" s="238">
        <f t="shared" ref="CKY16" si="1165">CKY11*0.0425</f>
        <v>0</v>
      </c>
      <c r="CLA16" s="238">
        <f t="shared" ref="CLA16" si="1166">CLA11*0.0425</f>
        <v>0</v>
      </c>
      <c r="CLC16" s="238">
        <f t="shared" ref="CLC16" si="1167">CLC11*0.0425</f>
        <v>0</v>
      </c>
      <c r="CLE16" s="238">
        <f t="shared" ref="CLE16" si="1168">CLE11*0.0425</f>
        <v>0</v>
      </c>
      <c r="CLG16" s="238">
        <f t="shared" ref="CLG16" si="1169">CLG11*0.0425</f>
        <v>0</v>
      </c>
      <c r="CLI16" s="238">
        <f t="shared" ref="CLI16" si="1170">CLI11*0.0425</f>
        <v>0</v>
      </c>
      <c r="CLK16" s="238">
        <f t="shared" ref="CLK16" si="1171">CLK11*0.0425</f>
        <v>0</v>
      </c>
      <c r="CLM16" s="238">
        <f t="shared" ref="CLM16" si="1172">CLM11*0.0425</f>
        <v>0</v>
      </c>
      <c r="CLO16" s="238">
        <f t="shared" ref="CLO16" si="1173">CLO11*0.0425</f>
        <v>0</v>
      </c>
      <c r="CLQ16" s="238">
        <f t="shared" ref="CLQ16" si="1174">CLQ11*0.0425</f>
        <v>0</v>
      </c>
      <c r="CLS16" s="238">
        <f t="shared" ref="CLS16" si="1175">CLS11*0.0425</f>
        <v>0</v>
      </c>
      <c r="CLU16" s="238">
        <f t="shared" ref="CLU16" si="1176">CLU11*0.0425</f>
        <v>0</v>
      </c>
      <c r="CLW16" s="238">
        <f t="shared" ref="CLW16" si="1177">CLW11*0.0425</f>
        <v>0</v>
      </c>
      <c r="CLY16" s="238">
        <f t="shared" ref="CLY16" si="1178">CLY11*0.0425</f>
        <v>0</v>
      </c>
      <c r="CMA16" s="238">
        <f t="shared" ref="CMA16" si="1179">CMA11*0.0425</f>
        <v>0</v>
      </c>
      <c r="CMC16" s="238">
        <f t="shared" ref="CMC16" si="1180">CMC11*0.0425</f>
        <v>0</v>
      </c>
      <c r="CME16" s="238">
        <f t="shared" ref="CME16" si="1181">CME11*0.0425</f>
        <v>0</v>
      </c>
      <c r="CMG16" s="238">
        <f t="shared" ref="CMG16" si="1182">CMG11*0.0425</f>
        <v>0</v>
      </c>
      <c r="CMI16" s="238">
        <f t="shared" ref="CMI16" si="1183">CMI11*0.0425</f>
        <v>0</v>
      </c>
      <c r="CMK16" s="238">
        <f t="shared" ref="CMK16" si="1184">CMK11*0.0425</f>
        <v>0</v>
      </c>
      <c r="CMM16" s="238">
        <f t="shared" ref="CMM16" si="1185">CMM11*0.0425</f>
        <v>0</v>
      </c>
      <c r="CMO16" s="238">
        <f t="shared" ref="CMO16" si="1186">CMO11*0.0425</f>
        <v>0</v>
      </c>
      <c r="CMQ16" s="238">
        <f t="shared" ref="CMQ16" si="1187">CMQ11*0.0425</f>
        <v>0</v>
      </c>
      <c r="CMS16" s="238">
        <f t="shared" ref="CMS16" si="1188">CMS11*0.0425</f>
        <v>0</v>
      </c>
      <c r="CMU16" s="238">
        <f t="shared" ref="CMU16" si="1189">CMU11*0.0425</f>
        <v>0</v>
      </c>
      <c r="CMW16" s="238">
        <f t="shared" ref="CMW16" si="1190">CMW11*0.0425</f>
        <v>0</v>
      </c>
      <c r="CMY16" s="238">
        <f t="shared" ref="CMY16" si="1191">CMY11*0.0425</f>
        <v>0</v>
      </c>
      <c r="CNA16" s="238">
        <f t="shared" ref="CNA16" si="1192">CNA11*0.0425</f>
        <v>0</v>
      </c>
      <c r="CNC16" s="238">
        <f t="shared" ref="CNC16" si="1193">CNC11*0.0425</f>
        <v>0</v>
      </c>
      <c r="CNE16" s="238">
        <f t="shared" ref="CNE16" si="1194">CNE11*0.0425</f>
        <v>0</v>
      </c>
      <c r="CNG16" s="238">
        <f t="shared" ref="CNG16" si="1195">CNG11*0.0425</f>
        <v>0</v>
      </c>
      <c r="CNI16" s="238">
        <f t="shared" ref="CNI16" si="1196">CNI11*0.0425</f>
        <v>0</v>
      </c>
      <c r="CNK16" s="238">
        <f t="shared" ref="CNK16" si="1197">CNK11*0.0425</f>
        <v>0</v>
      </c>
      <c r="CNM16" s="238">
        <f t="shared" ref="CNM16" si="1198">CNM11*0.0425</f>
        <v>0</v>
      </c>
      <c r="CNO16" s="238">
        <f t="shared" ref="CNO16" si="1199">CNO11*0.0425</f>
        <v>0</v>
      </c>
      <c r="CNQ16" s="238">
        <f t="shared" ref="CNQ16" si="1200">CNQ11*0.0425</f>
        <v>0</v>
      </c>
      <c r="CNS16" s="238">
        <f t="shared" ref="CNS16" si="1201">CNS11*0.0425</f>
        <v>0</v>
      </c>
      <c r="CNU16" s="238">
        <f t="shared" ref="CNU16" si="1202">CNU11*0.0425</f>
        <v>0</v>
      </c>
      <c r="CNW16" s="238">
        <f t="shared" ref="CNW16" si="1203">CNW11*0.0425</f>
        <v>0</v>
      </c>
      <c r="CNY16" s="238">
        <f t="shared" ref="CNY16" si="1204">CNY11*0.0425</f>
        <v>0</v>
      </c>
      <c r="COA16" s="238">
        <f t="shared" ref="COA16" si="1205">COA11*0.0425</f>
        <v>0</v>
      </c>
      <c r="COC16" s="238">
        <f t="shared" ref="COC16" si="1206">COC11*0.0425</f>
        <v>0</v>
      </c>
      <c r="COE16" s="238">
        <f t="shared" ref="COE16" si="1207">COE11*0.0425</f>
        <v>0</v>
      </c>
      <c r="COG16" s="238">
        <f t="shared" ref="COG16" si="1208">COG11*0.0425</f>
        <v>0</v>
      </c>
      <c r="COI16" s="238">
        <f t="shared" ref="COI16" si="1209">COI11*0.0425</f>
        <v>0</v>
      </c>
      <c r="COK16" s="238">
        <f t="shared" ref="COK16" si="1210">COK11*0.0425</f>
        <v>0</v>
      </c>
      <c r="COM16" s="238">
        <f t="shared" ref="COM16" si="1211">COM11*0.0425</f>
        <v>0</v>
      </c>
      <c r="COO16" s="238">
        <f t="shared" ref="COO16" si="1212">COO11*0.0425</f>
        <v>0</v>
      </c>
      <c r="COQ16" s="238">
        <f t="shared" ref="COQ16" si="1213">COQ11*0.0425</f>
        <v>0</v>
      </c>
      <c r="COS16" s="238">
        <f t="shared" ref="COS16" si="1214">COS11*0.0425</f>
        <v>0</v>
      </c>
      <c r="COU16" s="238">
        <f t="shared" ref="COU16" si="1215">COU11*0.0425</f>
        <v>0</v>
      </c>
      <c r="COW16" s="238">
        <f t="shared" ref="COW16" si="1216">COW11*0.0425</f>
        <v>0</v>
      </c>
      <c r="COY16" s="238">
        <f t="shared" ref="COY16" si="1217">COY11*0.0425</f>
        <v>0</v>
      </c>
      <c r="CPA16" s="238">
        <f t="shared" ref="CPA16" si="1218">CPA11*0.0425</f>
        <v>0</v>
      </c>
      <c r="CPC16" s="238">
        <f t="shared" ref="CPC16" si="1219">CPC11*0.0425</f>
        <v>0</v>
      </c>
      <c r="CPE16" s="238">
        <f t="shared" ref="CPE16" si="1220">CPE11*0.0425</f>
        <v>0</v>
      </c>
      <c r="CPG16" s="238">
        <f t="shared" ref="CPG16" si="1221">CPG11*0.0425</f>
        <v>0</v>
      </c>
      <c r="CPI16" s="238">
        <f t="shared" ref="CPI16" si="1222">CPI11*0.0425</f>
        <v>0</v>
      </c>
      <c r="CPK16" s="238">
        <f t="shared" ref="CPK16" si="1223">CPK11*0.0425</f>
        <v>0</v>
      </c>
      <c r="CPM16" s="238">
        <f t="shared" ref="CPM16" si="1224">CPM11*0.0425</f>
        <v>0</v>
      </c>
      <c r="CPO16" s="238">
        <f t="shared" ref="CPO16" si="1225">CPO11*0.0425</f>
        <v>0</v>
      </c>
      <c r="CPQ16" s="238">
        <f t="shared" ref="CPQ16" si="1226">CPQ11*0.0425</f>
        <v>0</v>
      </c>
      <c r="CPS16" s="238">
        <f t="shared" ref="CPS16" si="1227">CPS11*0.0425</f>
        <v>0</v>
      </c>
      <c r="CPU16" s="238">
        <f t="shared" ref="CPU16" si="1228">CPU11*0.0425</f>
        <v>0</v>
      </c>
      <c r="CPW16" s="238">
        <f t="shared" ref="CPW16" si="1229">CPW11*0.0425</f>
        <v>0</v>
      </c>
      <c r="CPY16" s="238">
        <f t="shared" ref="CPY16" si="1230">CPY11*0.0425</f>
        <v>0</v>
      </c>
      <c r="CQA16" s="238">
        <f t="shared" ref="CQA16" si="1231">CQA11*0.0425</f>
        <v>0</v>
      </c>
      <c r="CQC16" s="238">
        <f t="shared" ref="CQC16" si="1232">CQC11*0.0425</f>
        <v>0</v>
      </c>
      <c r="CQE16" s="238">
        <f t="shared" ref="CQE16" si="1233">CQE11*0.0425</f>
        <v>0</v>
      </c>
      <c r="CQG16" s="238">
        <f t="shared" ref="CQG16" si="1234">CQG11*0.0425</f>
        <v>0</v>
      </c>
      <c r="CQI16" s="238">
        <f t="shared" ref="CQI16" si="1235">CQI11*0.0425</f>
        <v>0</v>
      </c>
      <c r="CQK16" s="238">
        <f t="shared" ref="CQK16" si="1236">CQK11*0.0425</f>
        <v>0</v>
      </c>
      <c r="CQM16" s="238">
        <f t="shared" ref="CQM16" si="1237">CQM11*0.0425</f>
        <v>0</v>
      </c>
      <c r="CQO16" s="238">
        <f t="shared" ref="CQO16" si="1238">CQO11*0.0425</f>
        <v>0</v>
      </c>
      <c r="CQQ16" s="238">
        <f t="shared" ref="CQQ16" si="1239">CQQ11*0.0425</f>
        <v>0</v>
      </c>
      <c r="CQS16" s="238">
        <f t="shared" ref="CQS16" si="1240">CQS11*0.0425</f>
        <v>0</v>
      </c>
      <c r="CQU16" s="238">
        <f t="shared" ref="CQU16" si="1241">CQU11*0.0425</f>
        <v>0</v>
      </c>
      <c r="CQW16" s="238">
        <f t="shared" ref="CQW16" si="1242">CQW11*0.0425</f>
        <v>0</v>
      </c>
      <c r="CQY16" s="238">
        <f t="shared" ref="CQY16" si="1243">CQY11*0.0425</f>
        <v>0</v>
      </c>
      <c r="CRA16" s="238">
        <f t="shared" ref="CRA16" si="1244">CRA11*0.0425</f>
        <v>0</v>
      </c>
      <c r="CRC16" s="238">
        <f t="shared" ref="CRC16" si="1245">CRC11*0.0425</f>
        <v>0</v>
      </c>
      <c r="CRE16" s="238">
        <f t="shared" ref="CRE16" si="1246">CRE11*0.0425</f>
        <v>0</v>
      </c>
      <c r="CRG16" s="238">
        <f t="shared" ref="CRG16" si="1247">CRG11*0.0425</f>
        <v>0</v>
      </c>
      <c r="CRI16" s="238">
        <f t="shared" ref="CRI16" si="1248">CRI11*0.0425</f>
        <v>0</v>
      </c>
      <c r="CRK16" s="238">
        <f t="shared" ref="CRK16" si="1249">CRK11*0.0425</f>
        <v>0</v>
      </c>
      <c r="CRM16" s="238">
        <f t="shared" ref="CRM16" si="1250">CRM11*0.0425</f>
        <v>0</v>
      </c>
      <c r="CRO16" s="238">
        <f t="shared" ref="CRO16" si="1251">CRO11*0.0425</f>
        <v>0</v>
      </c>
      <c r="CRQ16" s="238">
        <f t="shared" ref="CRQ16" si="1252">CRQ11*0.0425</f>
        <v>0</v>
      </c>
      <c r="CRS16" s="238">
        <f t="shared" ref="CRS16" si="1253">CRS11*0.0425</f>
        <v>0</v>
      </c>
      <c r="CRU16" s="238">
        <f t="shared" ref="CRU16" si="1254">CRU11*0.0425</f>
        <v>0</v>
      </c>
      <c r="CRW16" s="238">
        <f t="shared" ref="CRW16" si="1255">CRW11*0.0425</f>
        <v>0</v>
      </c>
      <c r="CRY16" s="238">
        <f t="shared" ref="CRY16" si="1256">CRY11*0.0425</f>
        <v>0</v>
      </c>
      <c r="CSA16" s="238">
        <f t="shared" ref="CSA16" si="1257">CSA11*0.0425</f>
        <v>0</v>
      </c>
      <c r="CSC16" s="238">
        <f t="shared" ref="CSC16" si="1258">CSC11*0.0425</f>
        <v>0</v>
      </c>
      <c r="CSE16" s="238">
        <f t="shared" ref="CSE16" si="1259">CSE11*0.0425</f>
        <v>0</v>
      </c>
      <c r="CSG16" s="238">
        <f t="shared" ref="CSG16" si="1260">CSG11*0.0425</f>
        <v>0</v>
      </c>
      <c r="CSI16" s="238">
        <f t="shared" ref="CSI16" si="1261">CSI11*0.0425</f>
        <v>0</v>
      </c>
      <c r="CSK16" s="238">
        <f t="shared" ref="CSK16" si="1262">CSK11*0.0425</f>
        <v>0</v>
      </c>
      <c r="CSM16" s="238">
        <f t="shared" ref="CSM16" si="1263">CSM11*0.0425</f>
        <v>0</v>
      </c>
      <c r="CSO16" s="238">
        <f t="shared" ref="CSO16" si="1264">CSO11*0.0425</f>
        <v>0</v>
      </c>
      <c r="CSQ16" s="238">
        <f t="shared" ref="CSQ16" si="1265">CSQ11*0.0425</f>
        <v>0</v>
      </c>
      <c r="CSS16" s="238">
        <f t="shared" ref="CSS16" si="1266">CSS11*0.0425</f>
        <v>0</v>
      </c>
      <c r="CSU16" s="238">
        <f t="shared" ref="CSU16" si="1267">CSU11*0.0425</f>
        <v>0</v>
      </c>
      <c r="CSW16" s="238">
        <f t="shared" ref="CSW16" si="1268">CSW11*0.0425</f>
        <v>0</v>
      </c>
      <c r="CSY16" s="238">
        <f t="shared" ref="CSY16" si="1269">CSY11*0.0425</f>
        <v>0</v>
      </c>
      <c r="CTA16" s="238">
        <f t="shared" ref="CTA16" si="1270">CTA11*0.0425</f>
        <v>0</v>
      </c>
      <c r="CTC16" s="238">
        <f t="shared" ref="CTC16" si="1271">CTC11*0.0425</f>
        <v>0</v>
      </c>
      <c r="CTE16" s="238">
        <f t="shared" ref="CTE16" si="1272">CTE11*0.0425</f>
        <v>0</v>
      </c>
      <c r="CTG16" s="238">
        <f t="shared" ref="CTG16" si="1273">CTG11*0.0425</f>
        <v>0</v>
      </c>
      <c r="CTI16" s="238">
        <f t="shared" ref="CTI16" si="1274">CTI11*0.0425</f>
        <v>0</v>
      </c>
      <c r="CTK16" s="238">
        <f t="shared" ref="CTK16" si="1275">CTK11*0.0425</f>
        <v>0</v>
      </c>
      <c r="CTM16" s="238">
        <f t="shared" ref="CTM16" si="1276">CTM11*0.0425</f>
        <v>0</v>
      </c>
      <c r="CTO16" s="238">
        <f t="shared" ref="CTO16" si="1277">CTO11*0.0425</f>
        <v>0</v>
      </c>
      <c r="CTQ16" s="238">
        <f t="shared" ref="CTQ16" si="1278">CTQ11*0.0425</f>
        <v>0</v>
      </c>
      <c r="CTS16" s="238">
        <f t="shared" ref="CTS16" si="1279">CTS11*0.0425</f>
        <v>0</v>
      </c>
      <c r="CTU16" s="238">
        <f t="shared" ref="CTU16" si="1280">CTU11*0.0425</f>
        <v>0</v>
      </c>
      <c r="CTW16" s="238">
        <f t="shared" ref="CTW16" si="1281">CTW11*0.0425</f>
        <v>0</v>
      </c>
      <c r="CTY16" s="238">
        <f t="shared" ref="CTY16" si="1282">CTY11*0.0425</f>
        <v>0</v>
      </c>
      <c r="CUA16" s="238">
        <f t="shared" ref="CUA16" si="1283">CUA11*0.0425</f>
        <v>0</v>
      </c>
      <c r="CUC16" s="238">
        <f t="shared" ref="CUC16" si="1284">CUC11*0.0425</f>
        <v>0</v>
      </c>
      <c r="CUE16" s="238">
        <f t="shared" ref="CUE16" si="1285">CUE11*0.0425</f>
        <v>0</v>
      </c>
      <c r="CUG16" s="238">
        <f t="shared" ref="CUG16" si="1286">CUG11*0.0425</f>
        <v>0</v>
      </c>
      <c r="CUI16" s="238">
        <f t="shared" ref="CUI16" si="1287">CUI11*0.0425</f>
        <v>0</v>
      </c>
      <c r="CUK16" s="238">
        <f t="shared" ref="CUK16" si="1288">CUK11*0.0425</f>
        <v>0</v>
      </c>
      <c r="CUM16" s="238">
        <f t="shared" ref="CUM16" si="1289">CUM11*0.0425</f>
        <v>0</v>
      </c>
      <c r="CUO16" s="238">
        <f t="shared" ref="CUO16" si="1290">CUO11*0.0425</f>
        <v>0</v>
      </c>
      <c r="CUQ16" s="238">
        <f t="shared" ref="CUQ16" si="1291">CUQ11*0.0425</f>
        <v>0</v>
      </c>
      <c r="CUS16" s="238">
        <f t="shared" ref="CUS16" si="1292">CUS11*0.0425</f>
        <v>0</v>
      </c>
      <c r="CUU16" s="238">
        <f t="shared" ref="CUU16" si="1293">CUU11*0.0425</f>
        <v>0</v>
      </c>
      <c r="CUW16" s="238">
        <f t="shared" ref="CUW16" si="1294">CUW11*0.0425</f>
        <v>0</v>
      </c>
      <c r="CUY16" s="238">
        <f t="shared" ref="CUY16" si="1295">CUY11*0.0425</f>
        <v>0</v>
      </c>
      <c r="CVA16" s="238">
        <f t="shared" ref="CVA16" si="1296">CVA11*0.0425</f>
        <v>0</v>
      </c>
      <c r="CVC16" s="238">
        <f t="shared" ref="CVC16" si="1297">CVC11*0.0425</f>
        <v>0</v>
      </c>
      <c r="CVE16" s="238">
        <f t="shared" ref="CVE16" si="1298">CVE11*0.0425</f>
        <v>0</v>
      </c>
      <c r="CVG16" s="238">
        <f t="shared" ref="CVG16" si="1299">CVG11*0.0425</f>
        <v>0</v>
      </c>
      <c r="CVI16" s="238">
        <f t="shared" ref="CVI16" si="1300">CVI11*0.0425</f>
        <v>0</v>
      </c>
      <c r="CVK16" s="238">
        <f t="shared" ref="CVK16" si="1301">CVK11*0.0425</f>
        <v>0</v>
      </c>
      <c r="CVM16" s="238">
        <f t="shared" ref="CVM16" si="1302">CVM11*0.0425</f>
        <v>0</v>
      </c>
      <c r="CVO16" s="238">
        <f t="shared" ref="CVO16" si="1303">CVO11*0.0425</f>
        <v>0</v>
      </c>
      <c r="CVQ16" s="238">
        <f t="shared" ref="CVQ16" si="1304">CVQ11*0.0425</f>
        <v>0</v>
      </c>
      <c r="CVS16" s="238">
        <f t="shared" ref="CVS16" si="1305">CVS11*0.0425</f>
        <v>0</v>
      </c>
      <c r="CVU16" s="238">
        <f t="shared" ref="CVU16" si="1306">CVU11*0.0425</f>
        <v>0</v>
      </c>
      <c r="CVW16" s="238">
        <f t="shared" ref="CVW16" si="1307">CVW11*0.0425</f>
        <v>0</v>
      </c>
      <c r="CVY16" s="238">
        <f t="shared" ref="CVY16" si="1308">CVY11*0.0425</f>
        <v>0</v>
      </c>
      <c r="CWA16" s="238">
        <f t="shared" ref="CWA16" si="1309">CWA11*0.0425</f>
        <v>0</v>
      </c>
      <c r="CWC16" s="238">
        <f t="shared" ref="CWC16" si="1310">CWC11*0.0425</f>
        <v>0</v>
      </c>
      <c r="CWE16" s="238">
        <f t="shared" ref="CWE16" si="1311">CWE11*0.0425</f>
        <v>0</v>
      </c>
      <c r="CWG16" s="238">
        <f t="shared" ref="CWG16" si="1312">CWG11*0.0425</f>
        <v>0</v>
      </c>
      <c r="CWI16" s="238">
        <f t="shared" ref="CWI16" si="1313">CWI11*0.0425</f>
        <v>0</v>
      </c>
      <c r="CWK16" s="238">
        <f t="shared" ref="CWK16" si="1314">CWK11*0.0425</f>
        <v>0</v>
      </c>
      <c r="CWM16" s="238">
        <f t="shared" ref="CWM16" si="1315">CWM11*0.0425</f>
        <v>0</v>
      </c>
      <c r="CWO16" s="238">
        <f t="shared" ref="CWO16" si="1316">CWO11*0.0425</f>
        <v>0</v>
      </c>
      <c r="CWQ16" s="238">
        <f t="shared" ref="CWQ16" si="1317">CWQ11*0.0425</f>
        <v>0</v>
      </c>
      <c r="CWS16" s="238">
        <f t="shared" ref="CWS16" si="1318">CWS11*0.0425</f>
        <v>0</v>
      </c>
      <c r="CWU16" s="238">
        <f t="shared" ref="CWU16" si="1319">CWU11*0.0425</f>
        <v>0</v>
      </c>
      <c r="CWW16" s="238">
        <f t="shared" ref="CWW16" si="1320">CWW11*0.0425</f>
        <v>0</v>
      </c>
      <c r="CWY16" s="238">
        <f t="shared" ref="CWY16" si="1321">CWY11*0.0425</f>
        <v>0</v>
      </c>
      <c r="CXA16" s="238">
        <f t="shared" ref="CXA16" si="1322">CXA11*0.0425</f>
        <v>0</v>
      </c>
      <c r="CXC16" s="238">
        <f t="shared" ref="CXC16" si="1323">CXC11*0.0425</f>
        <v>0</v>
      </c>
      <c r="CXE16" s="238">
        <f t="shared" ref="CXE16" si="1324">CXE11*0.0425</f>
        <v>0</v>
      </c>
      <c r="CXG16" s="238">
        <f t="shared" ref="CXG16" si="1325">CXG11*0.0425</f>
        <v>0</v>
      </c>
      <c r="CXI16" s="238">
        <f t="shared" ref="CXI16" si="1326">CXI11*0.0425</f>
        <v>0</v>
      </c>
      <c r="CXK16" s="238">
        <f t="shared" ref="CXK16" si="1327">CXK11*0.0425</f>
        <v>0</v>
      </c>
      <c r="CXM16" s="238">
        <f t="shared" ref="CXM16" si="1328">CXM11*0.0425</f>
        <v>0</v>
      </c>
      <c r="CXO16" s="238">
        <f t="shared" ref="CXO16" si="1329">CXO11*0.0425</f>
        <v>0</v>
      </c>
      <c r="CXQ16" s="238">
        <f t="shared" ref="CXQ16" si="1330">CXQ11*0.0425</f>
        <v>0</v>
      </c>
      <c r="CXS16" s="238">
        <f t="shared" ref="CXS16" si="1331">CXS11*0.0425</f>
        <v>0</v>
      </c>
      <c r="CXU16" s="238">
        <f t="shared" ref="CXU16" si="1332">CXU11*0.0425</f>
        <v>0</v>
      </c>
      <c r="CXW16" s="238">
        <f t="shared" ref="CXW16" si="1333">CXW11*0.0425</f>
        <v>0</v>
      </c>
      <c r="CXY16" s="238">
        <f t="shared" ref="CXY16" si="1334">CXY11*0.0425</f>
        <v>0</v>
      </c>
      <c r="CYA16" s="238">
        <f t="shared" ref="CYA16" si="1335">CYA11*0.0425</f>
        <v>0</v>
      </c>
      <c r="CYC16" s="238">
        <f t="shared" ref="CYC16" si="1336">CYC11*0.0425</f>
        <v>0</v>
      </c>
      <c r="CYE16" s="238">
        <f t="shared" ref="CYE16" si="1337">CYE11*0.0425</f>
        <v>0</v>
      </c>
      <c r="CYG16" s="238">
        <f t="shared" ref="CYG16" si="1338">CYG11*0.0425</f>
        <v>0</v>
      </c>
      <c r="CYI16" s="238">
        <f t="shared" ref="CYI16" si="1339">CYI11*0.0425</f>
        <v>0</v>
      </c>
      <c r="CYK16" s="238">
        <f t="shared" ref="CYK16" si="1340">CYK11*0.0425</f>
        <v>0</v>
      </c>
      <c r="CYM16" s="238">
        <f t="shared" ref="CYM16" si="1341">CYM11*0.0425</f>
        <v>0</v>
      </c>
      <c r="CYO16" s="238">
        <f t="shared" ref="CYO16" si="1342">CYO11*0.0425</f>
        <v>0</v>
      </c>
      <c r="CYQ16" s="238">
        <f t="shared" ref="CYQ16" si="1343">CYQ11*0.0425</f>
        <v>0</v>
      </c>
      <c r="CYS16" s="238">
        <f t="shared" ref="CYS16" si="1344">CYS11*0.0425</f>
        <v>0</v>
      </c>
      <c r="CYU16" s="238">
        <f t="shared" ref="CYU16" si="1345">CYU11*0.0425</f>
        <v>0</v>
      </c>
      <c r="CYW16" s="238">
        <f t="shared" ref="CYW16" si="1346">CYW11*0.0425</f>
        <v>0</v>
      </c>
      <c r="CYY16" s="238">
        <f t="shared" ref="CYY16" si="1347">CYY11*0.0425</f>
        <v>0</v>
      </c>
      <c r="CZA16" s="238">
        <f t="shared" ref="CZA16" si="1348">CZA11*0.0425</f>
        <v>0</v>
      </c>
      <c r="CZC16" s="238">
        <f t="shared" ref="CZC16" si="1349">CZC11*0.0425</f>
        <v>0</v>
      </c>
      <c r="CZE16" s="238">
        <f t="shared" ref="CZE16" si="1350">CZE11*0.0425</f>
        <v>0</v>
      </c>
      <c r="CZG16" s="238">
        <f t="shared" ref="CZG16" si="1351">CZG11*0.0425</f>
        <v>0</v>
      </c>
      <c r="CZI16" s="238">
        <f t="shared" ref="CZI16" si="1352">CZI11*0.0425</f>
        <v>0</v>
      </c>
      <c r="CZK16" s="238">
        <f t="shared" ref="CZK16" si="1353">CZK11*0.0425</f>
        <v>0</v>
      </c>
      <c r="CZM16" s="238">
        <f t="shared" ref="CZM16" si="1354">CZM11*0.0425</f>
        <v>0</v>
      </c>
      <c r="CZO16" s="238">
        <f t="shared" ref="CZO16" si="1355">CZO11*0.0425</f>
        <v>0</v>
      </c>
      <c r="CZQ16" s="238">
        <f t="shared" ref="CZQ16" si="1356">CZQ11*0.0425</f>
        <v>0</v>
      </c>
      <c r="CZS16" s="238">
        <f t="shared" ref="CZS16" si="1357">CZS11*0.0425</f>
        <v>0</v>
      </c>
      <c r="CZU16" s="238">
        <f t="shared" ref="CZU16" si="1358">CZU11*0.0425</f>
        <v>0</v>
      </c>
      <c r="CZW16" s="238">
        <f t="shared" ref="CZW16" si="1359">CZW11*0.0425</f>
        <v>0</v>
      </c>
      <c r="CZY16" s="238">
        <f t="shared" ref="CZY16" si="1360">CZY11*0.0425</f>
        <v>0</v>
      </c>
      <c r="DAA16" s="238">
        <f t="shared" ref="DAA16" si="1361">DAA11*0.0425</f>
        <v>0</v>
      </c>
      <c r="DAC16" s="238">
        <f t="shared" ref="DAC16" si="1362">DAC11*0.0425</f>
        <v>0</v>
      </c>
      <c r="DAE16" s="238">
        <f t="shared" ref="DAE16" si="1363">DAE11*0.0425</f>
        <v>0</v>
      </c>
      <c r="DAG16" s="238">
        <f t="shared" ref="DAG16" si="1364">DAG11*0.0425</f>
        <v>0</v>
      </c>
      <c r="DAI16" s="238">
        <f t="shared" ref="DAI16" si="1365">DAI11*0.0425</f>
        <v>0</v>
      </c>
      <c r="DAK16" s="238">
        <f t="shared" ref="DAK16" si="1366">DAK11*0.0425</f>
        <v>0</v>
      </c>
      <c r="DAM16" s="238">
        <f t="shared" ref="DAM16" si="1367">DAM11*0.0425</f>
        <v>0</v>
      </c>
      <c r="DAO16" s="238">
        <f t="shared" ref="DAO16" si="1368">DAO11*0.0425</f>
        <v>0</v>
      </c>
      <c r="DAQ16" s="238">
        <f t="shared" ref="DAQ16" si="1369">DAQ11*0.0425</f>
        <v>0</v>
      </c>
      <c r="DAS16" s="238">
        <f t="shared" ref="DAS16" si="1370">DAS11*0.0425</f>
        <v>0</v>
      </c>
      <c r="DAU16" s="238">
        <f t="shared" ref="DAU16" si="1371">DAU11*0.0425</f>
        <v>0</v>
      </c>
      <c r="DAW16" s="238">
        <f t="shared" ref="DAW16" si="1372">DAW11*0.0425</f>
        <v>0</v>
      </c>
      <c r="DAY16" s="238">
        <f t="shared" ref="DAY16" si="1373">DAY11*0.0425</f>
        <v>0</v>
      </c>
      <c r="DBA16" s="238">
        <f t="shared" ref="DBA16" si="1374">DBA11*0.0425</f>
        <v>0</v>
      </c>
      <c r="DBC16" s="238">
        <f t="shared" ref="DBC16" si="1375">DBC11*0.0425</f>
        <v>0</v>
      </c>
      <c r="DBE16" s="238">
        <f t="shared" ref="DBE16" si="1376">DBE11*0.0425</f>
        <v>0</v>
      </c>
      <c r="DBG16" s="238">
        <f t="shared" ref="DBG16" si="1377">DBG11*0.0425</f>
        <v>0</v>
      </c>
      <c r="DBI16" s="238">
        <f t="shared" ref="DBI16" si="1378">DBI11*0.0425</f>
        <v>0</v>
      </c>
      <c r="DBK16" s="238">
        <f t="shared" ref="DBK16" si="1379">DBK11*0.0425</f>
        <v>0</v>
      </c>
      <c r="DBM16" s="238">
        <f t="shared" ref="DBM16" si="1380">DBM11*0.0425</f>
        <v>0</v>
      </c>
      <c r="DBO16" s="238">
        <f t="shared" ref="DBO16" si="1381">DBO11*0.0425</f>
        <v>0</v>
      </c>
      <c r="DBQ16" s="238">
        <f t="shared" ref="DBQ16" si="1382">DBQ11*0.0425</f>
        <v>0</v>
      </c>
      <c r="DBS16" s="238">
        <f t="shared" ref="DBS16" si="1383">DBS11*0.0425</f>
        <v>0</v>
      </c>
      <c r="DBU16" s="238">
        <f t="shared" ref="DBU16" si="1384">DBU11*0.0425</f>
        <v>0</v>
      </c>
      <c r="DBW16" s="238">
        <f t="shared" ref="DBW16" si="1385">DBW11*0.0425</f>
        <v>0</v>
      </c>
      <c r="DBY16" s="238">
        <f t="shared" ref="DBY16" si="1386">DBY11*0.0425</f>
        <v>0</v>
      </c>
      <c r="DCA16" s="238">
        <f t="shared" ref="DCA16" si="1387">DCA11*0.0425</f>
        <v>0</v>
      </c>
      <c r="DCC16" s="238">
        <f t="shared" ref="DCC16" si="1388">DCC11*0.0425</f>
        <v>0</v>
      </c>
      <c r="DCE16" s="238">
        <f t="shared" ref="DCE16" si="1389">DCE11*0.0425</f>
        <v>0</v>
      </c>
      <c r="DCG16" s="238">
        <f t="shared" ref="DCG16" si="1390">DCG11*0.0425</f>
        <v>0</v>
      </c>
      <c r="DCI16" s="238">
        <f t="shared" ref="DCI16" si="1391">DCI11*0.0425</f>
        <v>0</v>
      </c>
      <c r="DCK16" s="238">
        <f t="shared" ref="DCK16" si="1392">DCK11*0.0425</f>
        <v>0</v>
      </c>
      <c r="DCM16" s="238">
        <f t="shared" ref="DCM16" si="1393">DCM11*0.0425</f>
        <v>0</v>
      </c>
      <c r="DCO16" s="238">
        <f t="shared" ref="DCO16" si="1394">DCO11*0.0425</f>
        <v>0</v>
      </c>
      <c r="DCQ16" s="238">
        <f t="shared" ref="DCQ16" si="1395">DCQ11*0.0425</f>
        <v>0</v>
      </c>
      <c r="DCS16" s="238">
        <f t="shared" ref="DCS16" si="1396">DCS11*0.0425</f>
        <v>0</v>
      </c>
      <c r="DCU16" s="238">
        <f t="shared" ref="DCU16" si="1397">DCU11*0.0425</f>
        <v>0</v>
      </c>
      <c r="DCW16" s="238">
        <f t="shared" ref="DCW16" si="1398">DCW11*0.0425</f>
        <v>0</v>
      </c>
      <c r="DCY16" s="238">
        <f t="shared" ref="DCY16" si="1399">DCY11*0.0425</f>
        <v>0</v>
      </c>
      <c r="DDA16" s="238">
        <f t="shared" ref="DDA16" si="1400">DDA11*0.0425</f>
        <v>0</v>
      </c>
      <c r="DDC16" s="238">
        <f t="shared" ref="DDC16" si="1401">DDC11*0.0425</f>
        <v>0</v>
      </c>
      <c r="DDE16" s="238">
        <f t="shared" ref="DDE16" si="1402">DDE11*0.0425</f>
        <v>0</v>
      </c>
      <c r="DDG16" s="238">
        <f t="shared" ref="DDG16" si="1403">DDG11*0.0425</f>
        <v>0</v>
      </c>
      <c r="DDI16" s="238">
        <f t="shared" ref="DDI16" si="1404">DDI11*0.0425</f>
        <v>0</v>
      </c>
      <c r="DDK16" s="238">
        <f t="shared" ref="DDK16" si="1405">DDK11*0.0425</f>
        <v>0</v>
      </c>
      <c r="DDM16" s="238">
        <f t="shared" ref="DDM16" si="1406">DDM11*0.0425</f>
        <v>0</v>
      </c>
      <c r="DDO16" s="238">
        <f t="shared" ref="DDO16" si="1407">DDO11*0.0425</f>
        <v>0</v>
      </c>
      <c r="DDQ16" s="238">
        <f t="shared" ref="DDQ16" si="1408">DDQ11*0.0425</f>
        <v>0</v>
      </c>
      <c r="DDS16" s="238">
        <f t="shared" ref="DDS16" si="1409">DDS11*0.0425</f>
        <v>0</v>
      </c>
      <c r="DDU16" s="238">
        <f t="shared" ref="DDU16" si="1410">DDU11*0.0425</f>
        <v>0</v>
      </c>
      <c r="DDW16" s="238">
        <f t="shared" ref="DDW16" si="1411">DDW11*0.0425</f>
        <v>0</v>
      </c>
      <c r="DDY16" s="238">
        <f t="shared" ref="DDY16" si="1412">DDY11*0.0425</f>
        <v>0</v>
      </c>
      <c r="DEA16" s="238">
        <f t="shared" ref="DEA16" si="1413">DEA11*0.0425</f>
        <v>0</v>
      </c>
      <c r="DEC16" s="238">
        <f t="shared" ref="DEC16" si="1414">DEC11*0.0425</f>
        <v>0</v>
      </c>
      <c r="DEE16" s="238">
        <f t="shared" ref="DEE16" si="1415">DEE11*0.0425</f>
        <v>0</v>
      </c>
      <c r="DEG16" s="238">
        <f t="shared" ref="DEG16" si="1416">DEG11*0.0425</f>
        <v>0</v>
      </c>
      <c r="DEI16" s="238">
        <f t="shared" ref="DEI16" si="1417">DEI11*0.0425</f>
        <v>0</v>
      </c>
      <c r="DEK16" s="238">
        <f t="shared" ref="DEK16" si="1418">DEK11*0.0425</f>
        <v>0</v>
      </c>
      <c r="DEM16" s="238">
        <f t="shared" ref="DEM16" si="1419">DEM11*0.0425</f>
        <v>0</v>
      </c>
      <c r="DEO16" s="238">
        <f t="shared" ref="DEO16" si="1420">DEO11*0.0425</f>
        <v>0</v>
      </c>
      <c r="DEQ16" s="238">
        <f t="shared" ref="DEQ16" si="1421">DEQ11*0.0425</f>
        <v>0</v>
      </c>
      <c r="DES16" s="238">
        <f t="shared" ref="DES16" si="1422">DES11*0.0425</f>
        <v>0</v>
      </c>
      <c r="DEU16" s="238">
        <f t="shared" ref="DEU16" si="1423">DEU11*0.0425</f>
        <v>0</v>
      </c>
      <c r="DEW16" s="238">
        <f t="shared" ref="DEW16" si="1424">DEW11*0.0425</f>
        <v>0</v>
      </c>
      <c r="DEY16" s="238">
        <f t="shared" ref="DEY16" si="1425">DEY11*0.0425</f>
        <v>0</v>
      </c>
      <c r="DFA16" s="238">
        <f t="shared" ref="DFA16" si="1426">DFA11*0.0425</f>
        <v>0</v>
      </c>
      <c r="DFC16" s="238">
        <f t="shared" ref="DFC16" si="1427">DFC11*0.0425</f>
        <v>0</v>
      </c>
      <c r="DFE16" s="238">
        <f t="shared" ref="DFE16" si="1428">DFE11*0.0425</f>
        <v>0</v>
      </c>
      <c r="DFG16" s="238">
        <f t="shared" ref="DFG16" si="1429">DFG11*0.0425</f>
        <v>0</v>
      </c>
      <c r="DFI16" s="238">
        <f t="shared" ref="DFI16" si="1430">DFI11*0.0425</f>
        <v>0</v>
      </c>
      <c r="DFK16" s="238">
        <f t="shared" ref="DFK16" si="1431">DFK11*0.0425</f>
        <v>0</v>
      </c>
      <c r="DFM16" s="238">
        <f t="shared" ref="DFM16" si="1432">DFM11*0.0425</f>
        <v>0</v>
      </c>
      <c r="DFO16" s="238">
        <f t="shared" ref="DFO16" si="1433">DFO11*0.0425</f>
        <v>0</v>
      </c>
      <c r="DFQ16" s="238">
        <f t="shared" ref="DFQ16" si="1434">DFQ11*0.0425</f>
        <v>0</v>
      </c>
      <c r="DFS16" s="238">
        <f t="shared" ref="DFS16" si="1435">DFS11*0.0425</f>
        <v>0</v>
      </c>
      <c r="DFU16" s="238">
        <f t="shared" ref="DFU16" si="1436">DFU11*0.0425</f>
        <v>0</v>
      </c>
      <c r="DFW16" s="238">
        <f t="shared" ref="DFW16" si="1437">DFW11*0.0425</f>
        <v>0</v>
      </c>
      <c r="DFY16" s="238">
        <f t="shared" ref="DFY16" si="1438">DFY11*0.0425</f>
        <v>0</v>
      </c>
      <c r="DGA16" s="238">
        <f t="shared" ref="DGA16" si="1439">DGA11*0.0425</f>
        <v>0</v>
      </c>
      <c r="DGC16" s="238">
        <f t="shared" ref="DGC16" si="1440">DGC11*0.0425</f>
        <v>0</v>
      </c>
      <c r="DGE16" s="238">
        <f t="shared" ref="DGE16" si="1441">DGE11*0.0425</f>
        <v>0</v>
      </c>
      <c r="DGG16" s="238">
        <f t="shared" ref="DGG16" si="1442">DGG11*0.0425</f>
        <v>0</v>
      </c>
      <c r="DGI16" s="238">
        <f t="shared" ref="DGI16" si="1443">DGI11*0.0425</f>
        <v>0</v>
      </c>
      <c r="DGK16" s="238">
        <f t="shared" ref="DGK16" si="1444">DGK11*0.0425</f>
        <v>0</v>
      </c>
      <c r="DGM16" s="238">
        <f t="shared" ref="DGM16" si="1445">DGM11*0.0425</f>
        <v>0</v>
      </c>
      <c r="DGO16" s="238">
        <f t="shared" ref="DGO16" si="1446">DGO11*0.0425</f>
        <v>0</v>
      </c>
      <c r="DGQ16" s="238">
        <f t="shared" ref="DGQ16" si="1447">DGQ11*0.0425</f>
        <v>0</v>
      </c>
      <c r="DGS16" s="238">
        <f t="shared" ref="DGS16" si="1448">DGS11*0.0425</f>
        <v>0</v>
      </c>
      <c r="DGU16" s="238">
        <f t="shared" ref="DGU16" si="1449">DGU11*0.0425</f>
        <v>0</v>
      </c>
      <c r="DGW16" s="238">
        <f t="shared" ref="DGW16" si="1450">DGW11*0.0425</f>
        <v>0</v>
      </c>
      <c r="DGY16" s="238">
        <f t="shared" ref="DGY16" si="1451">DGY11*0.0425</f>
        <v>0</v>
      </c>
      <c r="DHA16" s="238">
        <f t="shared" ref="DHA16" si="1452">DHA11*0.0425</f>
        <v>0</v>
      </c>
      <c r="DHC16" s="238">
        <f t="shared" ref="DHC16" si="1453">DHC11*0.0425</f>
        <v>0</v>
      </c>
      <c r="DHE16" s="238">
        <f t="shared" ref="DHE16" si="1454">DHE11*0.0425</f>
        <v>0</v>
      </c>
      <c r="DHG16" s="238">
        <f t="shared" ref="DHG16" si="1455">DHG11*0.0425</f>
        <v>0</v>
      </c>
      <c r="DHI16" s="238">
        <f t="shared" ref="DHI16" si="1456">DHI11*0.0425</f>
        <v>0</v>
      </c>
      <c r="DHK16" s="238">
        <f t="shared" ref="DHK16" si="1457">DHK11*0.0425</f>
        <v>0</v>
      </c>
      <c r="DHM16" s="238">
        <f t="shared" ref="DHM16" si="1458">DHM11*0.0425</f>
        <v>0</v>
      </c>
      <c r="DHO16" s="238">
        <f t="shared" ref="DHO16" si="1459">DHO11*0.0425</f>
        <v>0</v>
      </c>
      <c r="DHQ16" s="238">
        <f t="shared" ref="DHQ16" si="1460">DHQ11*0.0425</f>
        <v>0</v>
      </c>
      <c r="DHS16" s="238">
        <f t="shared" ref="DHS16" si="1461">DHS11*0.0425</f>
        <v>0</v>
      </c>
      <c r="DHU16" s="238">
        <f t="shared" ref="DHU16" si="1462">DHU11*0.0425</f>
        <v>0</v>
      </c>
      <c r="DHW16" s="238">
        <f t="shared" ref="DHW16" si="1463">DHW11*0.0425</f>
        <v>0</v>
      </c>
      <c r="DHY16" s="238">
        <f t="shared" ref="DHY16" si="1464">DHY11*0.0425</f>
        <v>0</v>
      </c>
      <c r="DIA16" s="238">
        <f t="shared" ref="DIA16" si="1465">DIA11*0.0425</f>
        <v>0</v>
      </c>
      <c r="DIC16" s="238">
        <f t="shared" ref="DIC16" si="1466">DIC11*0.0425</f>
        <v>0</v>
      </c>
      <c r="DIE16" s="238">
        <f t="shared" ref="DIE16" si="1467">DIE11*0.0425</f>
        <v>0</v>
      </c>
      <c r="DIG16" s="238">
        <f t="shared" ref="DIG16" si="1468">DIG11*0.0425</f>
        <v>0</v>
      </c>
      <c r="DII16" s="238">
        <f t="shared" ref="DII16" si="1469">DII11*0.0425</f>
        <v>0</v>
      </c>
      <c r="DIK16" s="238">
        <f t="shared" ref="DIK16" si="1470">DIK11*0.0425</f>
        <v>0</v>
      </c>
      <c r="DIM16" s="238">
        <f t="shared" ref="DIM16" si="1471">DIM11*0.0425</f>
        <v>0</v>
      </c>
      <c r="DIO16" s="238">
        <f t="shared" ref="DIO16" si="1472">DIO11*0.0425</f>
        <v>0</v>
      </c>
      <c r="DIQ16" s="238">
        <f t="shared" ref="DIQ16" si="1473">DIQ11*0.0425</f>
        <v>0</v>
      </c>
      <c r="DIS16" s="238">
        <f t="shared" ref="DIS16" si="1474">DIS11*0.0425</f>
        <v>0</v>
      </c>
      <c r="DIU16" s="238">
        <f t="shared" ref="DIU16" si="1475">DIU11*0.0425</f>
        <v>0</v>
      </c>
      <c r="DIW16" s="238">
        <f t="shared" ref="DIW16" si="1476">DIW11*0.0425</f>
        <v>0</v>
      </c>
      <c r="DIY16" s="238">
        <f t="shared" ref="DIY16" si="1477">DIY11*0.0425</f>
        <v>0</v>
      </c>
      <c r="DJA16" s="238">
        <f t="shared" ref="DJA16" si="1478">DJA11*0.0425</f>
        <v>0</v>
      </c>
      <c r="DJC16" s="238">
        <f t="shared" ref="DJC16" si="1479">DJC11*0.0425</f>
        <v>0</v>
      </c>
      <c r="DJE16" s="238">
        <f t="shared" ref="DJE16" si="1480">DJE11*0.0425</f>
        <v>0</v>
      </c>
      <c r="DJG16" s="238">
        <f t="shared" ref="DJG16" si="1481">DJG11*0.0425</f>
        <v>0</v>
      </c>
      <c r="DJI16" s="238">
        <f t="shared" ref="DJI16" si="1482">DJI11*0.0425</f>
        <v>0</v>
      </c>
      <c r="DJK16" s="238">
        <f t="shared" ref="DJK16" si="1483">DJK11*0.0425</f>
        <v>0</v>
      </c>
      <c r="DJM16" s="238">
        <f t="shared" ref="DJM16" si="1484">DJM11*0.0425</f>
        <v>0</v>
      </c>
      <c r="DJO16" s="238">
        <f t="shared" ref="DJO16" si="1485">DJO11*0.0425</f>
        <v>0</v>
      </c>
      <c r="DJQ16" s="238">
        <f t="shared" ref="DJQ16" si="1486">DJQ11*0.0425</f>
        <v>0</v>
      </c>
      <c r="DJS16" s="238">
        <f t="shared" ref="DJS16" si="1487">DJS11*0.0425</f>
        <v>0</v>
      </c>
      <c r="DJU16" s="238">
        <f t="shared" ref="DJU16" si="1488">DJU11*0.0425</f>
        <v>0</v>
      </c>
      <c r="DJW16" s="238">
        <f t="shared" ref="DJW16" si="1489">DJW11*0.0425</f>
        <v>0</v>
      </c>
      <c r="DJY16" s="238">
        <f t="shared" ref="DJY16" si="1490">DJY11*0.0425</f>
        <v>0</v>
      </c>
      <c r="DKA16" s="238">
        <f t="shared" ref="DKA16" si="1491">DKA11*0.0425</f>
        <v>0</v>
      </c>
      <c r="DKC16" s="238">
        <f t="shared" ref="DKC16" si="1492">DKC11*0.0425</f>
        <v>0</v>
      </c>
      <c r="DKE16" s="238">
        <f t="shared" ref="DKE16" si="1493">DKE11*0.0425</f>
        <v>0</v>
      </c>
      <c r="DKG16" s="238">
        <f t="shared" ref="DKG16" si="1494">DKG11*0.0425</f>
        <v>0</v>
      </c>
      <c r="DKI16" s="238">
        <f t="shared" ref="DKI16" si="1495">DKI11*0.0425</f>
        <v>0</v>
      </c>
      <c r="DKK16" s="238">
        <f t="shared" ref="DKK16" si="1496">DKK11*0.0425</f>
        <v>0</v>
      </c>
      <c r="DKM16" s="238">
        <f t="shared" ref="DKM16" si="1497">DKM11*0.0425</f>
        <v>0</v>
      </c>
      <c r="DKO16" s="238">
        <f t="shared" ref="DKO16" si="1498">DKO11*0.0425</f>
        <v>0</v>
      </c>
      <c r="DKQ16" s="238">
        <f t="shared" ref="DKQ16" si="1499">DKQ11*0.0425</f>
        <v>0</v>
      </c>
      <c r="DKS16" s="238">
        <f t="shared" ref="DKS16" si="1500">DKS11*0.0425</f>
        <v>0</v>
      </c>
      <c r="DKU16" s="238">
        <f t="shared" ref="DKU16" si="1501">DKU11*0.0425</f>
        <v>0</v>
      </c>
      <c r="DKW16" s="238">
        <f t="shared" ref="DKW16" si="1502">DKW11*0.0425</f>
        <v>0</v>
      </c>
      <c r="DKY16" s="238">
        <f t="shared" ref="DKY16" si="1503">DKY11*0.0425</f>
        <v>0</v>
      </c>
      <c r="DLA16" s="238">
        <f t="shared" ref="DLA16" si="1504">DLA11*0.0425</f>
        <v>0</v>
      </c>
      <c r="DLC16" s="238">
        <f t="shared" ref="DLC16" si="1505">DLC11*0.0425</f>
        <v>0</v>
      </c>
      <c r="DLE16" s="238">
        <f t="shared" ref="DLE16" si="1506">DLE11*0.0425</f>
        <v>0</v>
      </c>
      <c r="DLG16" s="238">
        <f t="shared" ref="DLG16" si="1507">DLG11*0.0425</f>
        <v>0</v>
      </c>
      <c r="DLI16" s="238">
        <f t="shared" ref="DLI16" si="1508">DLI11*0.0425</f>
        <v>0</v>
      </c>
      <c r="DLK16" s="238">
        <f t="shared" ref="DLK16" si="1509">DLK11*0.0425</f>
        <v>0</v>
      </c>
      <c r="DLM16" s="238">
        <f t="shared" ref="DLM16" si="1510">DLM11*0.0425</f>
        <v>0</v>
      </c>
      <c r="DLO16" s="238">
        <f t="shared" ref="DLO16" si="1511">DLO11*0.0425</f>
        <v>0</v>
      </c>
      <c r="DLQ16" s="238">
        <f t="shared" ref="DLQ16" si="1512">DLQ11*0.0425</f>
        <v>0</v>
      </c>
      <c r="DLS16" s="238">
        <f t="shared" ref="DLS16" si="1513">DLS11*0.0425</f>
        <v>0</v>
      </c>
      <c r="DLU16" s="238">
        <f t="shared" ref="DLU16" si="1514">DLU11*0.0425</f>
        <v>0</v>
      </c>
      <c r="DLW16" s="238">
        <f t="shared" ref="DLW16" si="1515">DLW11*0.0425</f>
        <v>0</v>
      </c>
      <c r="DLY16" s="238">
        <f t="shared" ref="DLY16" si="1516">DLY11*0.0425</f>
        <v>0</v>
      </c>
      <c r="DMA16" s="238">
        <f t="shared" ref="DMA16" si="1517">DMA11*0.0425</f>
        <v>0</v>
      </c>
      <c r="DMC16" s="238">
        <f t="shared" ref="DMC16" si="1518">DMC11*0.0425</f>
        <v>0</v>
      </c>
      <c r="DME16" s="238">
        <f t="shared" ref="DME16" si="1519">DME11*0.0425</f>
        <v>0</v>
      </c>
      <c r="DMG16" s="238">
        <f t="shared" ref="DMG16" si="1520">DMG11*0.0425</f>
        <v>0</v>
      </c>
      <c r="DMI16" s="238">
        <f t="shared" ref="DMI16" si="1521">DMI11*0.0425</f>
        <v>0</v>
      </c>
      <c r="DMK16" s="238">
        <f t="shared" ref="DMK16" si="1522">DMK11*0.0425</f>
        <v>0</v>
      </c>
      <c r="DMM16" s="238">
        <f t="shared" ref="DMM16" si="1523">DMM11*0.0425</f>
        <v>0</v>
      </c>
      <c r="DMO16" s="238">
        <f t="shared" ref="DMO16" si="1524">DMO11*0.0425</f>
        <v>0</v>
      </c>
      <c r="DMQ16" s="238">
        <f t="shared" ref="DMQ16" si="1525">DMQ11*0.0425</f>
        <v>0</v>
      </c>
      <c r="DMS16" s="238">
        <f t="shared" ref="DMS16" si="1526">DMS11*0.0425</f>
        <v>0</v>
      </c>
      <c r="DMU16" s="238">
        <f t="shared" ref="DMU16" si="1527">DMU11*0.0425</f>
        <v>0</v>
      </c>
      <c r="DMW16" s="238">
        <f t="shared" ref="DMW16" si="1528">DMW11*0.0425</f>
        <v>0</v>
      </c>
      <c r="DMY16" s="238">
        <f t="shared" ref="DMY16" si="1529">DMY11*0.0425</f>
        <v>0</v>
      </c>
      <c r="DNA16" s="238">
        <f t="shared" ref="DNA16" si="1530">DNA11*0.0425</f>
        <v>0</v>
      </c>
      <c r="DNC16" s="238">
        <f t="shared" ref="DNC16" si="1531">DNC11*0.0425</f>
        <v>0</v>
      </c>
      <c r="DNE16" s="238">
        <f t="shared" ref="DNE16" si="1532">DNE11*0.0425</f>
        <v>0</v>
      </c>
      <c r="DNG16" s="238">
        <f t="shared" ref="DNG16" si="1533">DNG11*0.0425</f>
        <v>0</v>
      </c>
      <c r="DNI16" s="238">
        <f t="shared" ref="DNI16" si="1534">DNI11*0.0425</f>
        <v>0</v>
      </c>
      <c r="DNK16" s="238">
        <f t="shared" ref="DNK16" si="1535">DNK11*0.0425</f>
        <v>0</v>
      </c>
      <c r="DNM16" s="238">
        <f t="shared" ref="DNM16" si="1536">DNM11*0.0425</f>
        <v>0</v>
      </c>
      <c r="DNO16" s="238">
        <f t="shared" ref="DNO16" si="1537">DNO11*0.0425</f>
        <v>0</v>
      </c>
      <c r="DNQ16" s="238">
        <f t="shared" ref="DNQ16" si="1538">DNQ11*0.0425</f>
        <v>0</v>
      </c>
      <c r="DNS16" s="238">
        <f t="shared" ref="DNS16" si="1539">DNS11*0.0425</f>
        <v>0</v>
      </c>
      <c r="DNU16" s="238">
        <f t="shared" ref="DNU16" si="1540">DNU11*0.0425</f>
        <v>0</v>
      </c>
      <c r="DNW16" s="238">
        <f t="shared" ref="DNW16" si="1541">DNW11*0.0425</f>
        <v>0</v>
      </c>
      <c r="DNY16" s="238">
        <f t="shared" ref="DNY16" si="1542">DNY11*0.0425</f>
        <v>0</v>
      </c>
      <c r="DOA16" s="238">
        <f t="shared" ref="DOA16" si="1543">DOA11*0.0425</f>
        <v>0</v>
      </c>
      <c r="DOC16" s="238">
        <f t="shared" ref="DOC16" si="1544">DOC11*0.0425</f>
        <v>0</v>
      </c>
      <c r="DOE16" s="238">
        <f t="shared" ref="DOE16" si="1545">DOE11*0.0425</f>
        <v>0</v>
      </c>
      <c r="DOG16" s="238">
        <f t="shared" ref="DOG16" si="1546">DOG11*0.0425</f>
        <v>0</v>
      </c>
      <c r="DOI16" s="238">
        <f t="shared" ref="DOI16" si="1547">DOI11*0.0425</f>
        <v>0</v>
      </c>
      <c r="DOK16" s="238">
        <f t="shared" ref="DOK16" si="1548">DOK11*0.0425</f>
        <v>0</v>
      </c>
      <c r="DOM16" s="238">
        <f t="shared" ref="DOM16" si="1549">DOM11*0.0425</f>
        <v>0</v>
      </c>
      <c r="DOO16" s="238">
        <f t="shared" ref="DOO16" si="1550">DOO11*0.0425</f>
        <v>0</v>
      </c>
      <c r="DOQ16" s="238">
        <f t="shared" ref="DOQ16" si="1551">DOQ11*0.0425</f>
        <v>0</v>
      </c>
      <c r="DOS16" s="238">
        <f t="shared" ref="DOS16" si="1552">DOS11*0.0425</f>
        <v>0</v>
      </c>
      <c r="DOU16" s="238">
        <f t="shared" ref="DOU16" si="1553">DOU11*0.0425</f>
        <v>0</v>
      </c>
      <c r="DOW16" s="238">
        <f t="shared" ref="DOW16" si="1554">DOW11*0.0425</f>
        <v>0</v>
      </c>
      <c r="DOY16" s="238">
        <f t="shared" ref="DOY16" si="1555">DOY11*0.0425</f>
        <v>0</v>
      </c>
      <c r="DPA16" s="238">
        <f t="shared" ref="DPA16" si="1556">DPA11*0.0425</f>
        <v>0</v>
      </c>
      <c r="DPC16" s="238">
        <f t="shared" ref="DPC16" si="1557">DPC11*0.0425</f>
        <v>0</v>
      </c>
      <c r="DPE16" s="238">
        <f t="shared" ref="DPE16" si="1558">DPE11*0.0425</f>
        <v>0</v>
      </c>
      <c r="DPG16" s="238">
        <f t="shared" ref="DPG16" si="1559">DPG11*0.0425</f>
        <v>0</v>
      </c>
      <c r="DPI16" s="238">
        <f t="shared" ref="DPI16" si="1560">DPI11*0.0425</f>
        <v>0</v>
      </c>
      <c r="DPK16" s="238">
        <f t="shared" ref="DPK16" si="1561">DPK11*0.0425</f>
        <v>0</v>
      </c>
      <c r="DPM16" s="238">
        <f t="shared" ref="DPM16" si="1562">DPM11*0.0425</f>
        <v>0</v>
      </c>
      <c r="DPO16" s="238">
        <f t="shared" ref="DPO16" si="1563">DPO11*0.0425</f>
        <v>0</v>
      </c>
      <c r="DPQ16" s="238">
        <f t="shared" ref="DPQ16" si="1564">DPQ11*0.0425</f>
        <v>0</v>
      </c>
      <c r="DPS16" s="238">
        <f t="shared" ref="DPS16" si="1565">DPS11*0.0425</f>
        <v>0</v>
      </c>
      <c r="DPU16" s="238">
        <f t="shared" ref="DPU16" si="1566">DPU11*0.0425</f>
        <v>0</v>
      </c>
      <c r="DPW16" s="238">
        <f t="shared" ref="DPW16" si="1567">DPW11*0.0425</f>
        <v>0</v>
      </c>
      <c r="DPY16" s="238">
        <f t="shared" ref="DPY16" si="1568">DPY11*0.0425</f>
        <v>0</v>
      </c>
      <c r="DQA16" s="238">
        <f t="shared" ref="DQA16" si="1569">DQA11*0.0425</f>
        <v>0</v>
      </c>
      <c r="DQC16" s="238">
        <f t="shared" ref="DQC16" si="1570">DQC11*0.0425</f>
        <v>0</v>
      </c>
      <c r="DQE16" s="238">
        <f t="shared" ref="DQE16" si="1571">DQE11*0.0425</f>
        <v>0</v>
      </c>
      <c r="DQG16" s="238">
        <f t="shared" ref="DQG16" si="1572">DQG11*0.0425</f>
        <v>0</v>
      </c>
      <c r="DQI16" s="238">
        <f t="shared" ref="DQI16" si="1573">DQI11*0.0425</f>
        <v>0</v>
      </c>
      <c r="DQK16" s="238">
        <f t="shared" ref="DQK16" si="1574">DQK11*0.0425</f>
        <v>0</v>
      </c>
      <c r="DQM16" s="238">
        <f t="shared" ref="DQM16" si="1575">DQM11*0.0425</f>
        <v>0</v>
      </c>
      <c r="DQO16" s="238">
        <f t="shared" ref="DQO16" si="1576">DQO11*0.0425</f>
        <v>0</v>
      </c>
      <c r="DQQ16" s="238">
        <f t="shared" ref="DQQ16" si="1577">DQQ11*0.0425</f>
        <v>0</v>
      </c>
      <c r="DQS16" s="238">
        <f t="shared" ref="DQS16" si="1578">DQS11*0.0425</f>
        <v>0</v>
      </c>
      <c r="DQU16" s="238">
        <f t="shared" ref="DQU16" si="1579">DQU11*0.0425</f>
        <v>0</v>
      </c>
      <c r="DQW16" s="238">
        <f t="shared" ref="DQW16" si="1580">DQW11*0.0425</f>
        <v>0</v>
      </c>
      <c r="DQY16" s="238">
        <f t="shared" ref="DQY16" si="1581">DQY11*0.0425</f>
        <v>0</v>
      </c>
      <c r="DRA16" s="238">
        <f t="shared" ref="DRA16" si="1582">DRA11*0.0425</f>
        <v>0</v>
      </c>
      <c r="DRC16" s="238">
        <f t="shared" ref="DRC16" si="1583">DRC11*0.0425</f>
        <v>0</v>
      </c>
      <c r="DRE16" s="238">
        <f t="shared" ref="DRE16" si="1584">DRE11*0.0425</f>
        <v>0</v>
      </c>
      <c r="DRG16" s="238">
        <f t="shared" ref="DRG16" si="1585">DRG11*0.0425</f>
        <v>0</v>
      </c>
      <c r="DRI16" s="238">
        <f t="shared" ref="DRI16" si="1586">DRI11*0.0425</f>
        <v>0</v>
      </c>
      <c r="DRK16" s="238">
        <f t="shared" ref="DRK16" si="1587">DRK11*0.0425</f>
        <v>0</v>
      </c>
      <c r="DRM16" s="238">
        <f t="shared" ref="DRM16" si="1588">DRM11*0.0425</f>
        <v>0</v>
      </c>
      <c r="DRO16" s="238">
        <f t="shared" ref="DRO16" si="1589">DRO11*0.0425</f>
        <v>0</v>
      </c>
      <c r="DRQ16" s="238">
        <f t="shared" ref="DRQ16" si="1590">DRQ11*0.0425</f>
        <v>0</v>
      </c>
      <c r="DRS16" s="238">
        <f t="shared" ref="DRS16" si="1591">DRS11*0.0425</f>
        <v>0</v>
      </c>
      <c r="DRU16" s="238">
        <f t="shared" ref="DRU16" si="1592">DRU11*0.0425</f>
        <v>0</v>
      </c>
      <c r="DRW16" s="238">
        <f t="shared" ref="DRW16" si="1593">DRW11*0.0425</f>
        <v>0</v>
      </c>
      <c r="DRY16" s="238">
        <f t="shared" ref="DRY16" si="1594">DRY11*0.0425</f>
        <v>0</v>
      </c>
      <c r="DSA16" s="238">
        <f t="shared" ref="DSA16" si="1595">DSA11*0.0425</f>
        <v>0</v>
      </c>
      <c r="DSC16" s="238">
        <f t="shared" ref="DSC16" si="1596">DSC11*0.0425</f>
        <v>0</v>
      </c>
      <c r="DSE16" s="238">
        <f t="shared" ref="DSE16" si="1597">DSE11*0.0425</f>
        <v>0</v>
      </c>
      <c r="DSG16" s="238">
        <f t="shared" ref="DSG16" si="1598">DSG11*0.0425</f>
        <v>0</v>
      </c>
      <c r="DSI16" s="238">
        <f t="shared" ref="DSI16" si="1599">DSI11*0.0425</f>
        <v>0</v>
      </c>
      <c r="DSK16" s="238">
        <f t="shared" ref="DSK16" si="1600">DSK11*0.0425</f>
        <v>0</v>
      </c>
      <c r="DSM16" s="238">
        <f t="shared" ref="DSM16" si="1601">DSM11*0.0425</f>
        <v>0</v>
      </c>
      <c r="DSO16" s="238">
        <f t="shared" ref="DSO16" si="1602">DSO11*0.0425</f>
        <v>0</v>
      </c>
      <c r="DSQ16" s="238">
        <f t="shared" ref="DSQ16" si="1603">DSQ11*0.0425</f>
        <v>0</v>
      </c>
      <c r="DSS16" s="238">
        <f t="shared" ref="DSS16" si="1604">DSS11*0.0425</f>
        <v>0</v>
      </c>
      <c r="DSU16" s="238">
        <f t="shared" ref="DSU16" si="1605">DSU11*0.0425</f>
        <v>0</v>
      </c>
      <c r="DSW16" s="238">
        <f t="shared" ref="DSW16" si="1606">DSW11*0.0425</f>
        <v>0</v>
      </c>
      <c r="DSY16" s="238">
        <f t="shared" ref="DSY16" si="1607">DSY11*0.0425</f>
        <v>0</v>
      </c>
      <c r="DTA16" s="238">
        <f t="shared" ref="DTA16" si="1608">DTA11*0.0425</f>
        <v>0</v>
      </c>
      <c r="DTC16" s="238">
        <f t="shared" ref="DTC16" si="1609">DTC11*0.0425</f>
        <v>0</v>
      </c>
      <c r="DTE16" s="238">
        <f t="shared" ref="DTE16" si="1610">DTE11*0.0425</f>
        <v>0</v>
      </c>
      <c r="DTG16" s="238">
        <f t="shared" ref="DTG16" si="1611">DTG11*0.0425</f>
        <v>0</v>
      </c>
      <c r="DTI16" s="238">
        <f t="shared" ref="DTI16" si="1612">DTI11*0.0425</f>
        <v>0</v>
      </c>
      <c r="DTK16" s="238">
        <f t="shared" ref="DTK16" si="1613">DTK11*0.0425</f>
        <v>0</v>
      </c>
      <c r="DTM16" s="238">
        <f t="shared" ref="DTM16" si="1614">DTM11*0.0425</f>
        <v>0</v>
      </c>
      <c r="DTO16" s="238">
        <f t="shared" ref="DTO16" si="1615">DTO11*0.0425</f>
        <v>0</v>
      </c>
      <c r="DTQ16" s="238">
        <f t="shared" ref="DTQ16" si="1616">DTQ11*0.0425</f>
        <v>0</v>
      </c>
      <c r="DTS16" s="238">
        <f t="shared" ref="DTS16" si="1617">DTS11*0.0425</f>
        <v>0</v>
      </c>
      <c r="DTU16" s="238">
        <f t="shared" ref="DTU16" si="1618">DTU11*0.0425</f>
        <v>0</v>
      </c>
      <c r="DTW16" s="238">
        <f t="shared" ref="DTW16" si="1619">DTW11*0.0425</f>
        <v>0</v>
      </c>
      <c r="DTY16" s="238">
        <f t="shared" ref="DTY16" si="1620">DTY11*0.0425</f>
        <v>0</v>
      </c>
      <c r="DUA16" s="238">
        <f t="shared" ref="DUA16" si="1621">DUA11*0.0425</f>
        <v>0</v>
      </c>
      <c r="DUC16" s="238">
        <f t="shared" ref="DUC16" si="1622">DUC11*0.0425</f>
        <v>0</v>
      </c>
      <c r="DUE16" s="238">
        <f t="shared" ref="DUE16" si="1623">DUE11*0.0425</f>
        <v>0</v>
      </c>
      <c r="DUG16" s="238">
        <f t="shared" ref="DUG16" si="1624">DUG11*0.0425</f>
        <v>0</v>
      </c>
      <c r="DUI16" s="238">
        <f t="shared" ref="DUI16" si="1625">DUI11*0.0425</f>
        <v>0</v>
      </c>
      <c r="DUK16" s="238">
        <f t="shared" ref="DUK16" si="1626">DUK11*0.0425</f>
        <v>0</v>
      </c>
      <c r="DUM16" s="238">
        <f t="shared" ref="DUM16" si="1627">DUM11*0.0425</f>
        <v>0</v>
      </c>
      <c r="DUO16" s="238">
        <f t="shared" ref="DUO16" si="1628">DUO11*0.0425</f>
        <v>0</v>
      </c>
      <c r="DUQ16" s="238">
        <f t="shared" ref="DUQ16" si="1629">DUQ11*0.0425</f>
        <v>0</v>
      </c>
      <c r="DUS16" s="238">
        <f t="shared" ref="DUS16" si="1630">DUS11*0.0425</f>
        <v>0</v>
      </c>
      <c r="DUU16" s="238">
        <f t="shared" ref="DUU16" si="1631">DUU11*0.0425</f>
        <v>0</v>
      </c>
      <c r="DUW16" s="238">
        <f t="shared" ref="DUW16" si="1632">DUW11*0.0425</f>
        <v>0</v>
      </c>
      <c r="DUY16" s="238">
        <f t="shared" ref="DUY16" si="1633">DUY11*0.0425</f>
        <v>0</v>
      </c>
      <c r="DVA16" s="238">
        <f t="shared" ref="DVA16" si="1634">DVA11*0.0425</f>
        <v>0</v>
      </c>
      <c r="DVC16" s="238">
        <f t="shared" ref="DVC16" si="1635">DVC11*0.0425</f>
        <v>0</v>
      </c>
      <c r="DVE16" s="238">
        <f t="shared" ref="DVE16" si="1636">DVE11*0.0425</f>
        <v>0</v>
      </c>
      <c r="DVG16" s="238">
        <f t="shared" ref="DVG16" si="1637">DVG11*0.0425</f>
        <v>0</v>
      </c>
      <c r="DVI16" s="238">
        <f t="shared" ref="DVI16" si="1638">DVI11*0.0425</f>
        <v>0</v>
      </c>
      <c r="DVK16" s="238">
        <f t="shared" ref="DVK16" si="1639">DVK11*0.0425</f>
        <v>0</v>
      </c>
      <c r="DVM16" s="238">
        <f t="shared" ref="DVM16" si="1640">DVM11*0.0425</f>
        <v>0</v>
      </c>
      <c r="DVO16" s="238">
        <f t="shared" ref="DVO16" si="1641">DVO11*0.0425</f>
        <v>0</v>
      </c>
      <c r="DVQ16" s="238">
        <f t="shared" ref="DVQ16" si="1642">DVQ11*0.0425</f>
        <v>0</v>
      </c>
      <c r="DVS16" s="238">
        <f t="shared" ref="DVS16" si="1643">DVS11*0.0425</f>
        <v>0</v>
      </c>
      <c r="DVU16" s="238">
        <f t="shared" ref="DVU16" si="1644">DVU11*0.0425</f>
        <v>0</v>
      </c>
      <c r="DVW16" s="238">
        <f t="shared" ref="DVW16" si="1645">DVW11*0.0425</f>
        <v>0</v>
      </c>
      <c r="DVY16" s="238">
        <f t="shared" ref="DVY16" si="1646">DVY11*0.0425</f>
        <v>0</v>
      </c>
      <c r="DWA16" s="238">
        <f t="shared" ref="DWA16" si="1647">DWA11*0.0425</f>
        <v>0</v>
      </c>
      <c r="DWC16" s="238">
        <f t="shared" ref="DWC16" si="1648">DWC11*0.0425</f>
        <v>0</v>
      </c>
      <c r="DWE16" s="238">
        <f t="shared" ref="DWE16" si="1649">DWE11*0.0425</f>
        <v>0</v>
      </c>
      <c r="DWG16" s="238">
        <f t="shared" ref="DWG16" si="1650">DWG11*0.0425</f>
        <v>0</v>
      </c>
      <c r="DWI16" s="238">
        <f t="shared" ref="DWI16" si="1651">DWI11*0.0425</f>
        <v>0</v>
      </c>
      <c r="DWK16" s="238">
        <f t="shared" ref="DWK16" si="1652">DWK11*0.0425</f>
        <v>0</v>
      </c>
      <c r="DWM16" s="238">
        <f t="shared" ref="DWM16" si="1653">DWM11*0.0425</f>
        <v>0</v>
      </c>
      <c r="DWO16" s="238">
        <f t="shared" ref="DWO16" si="1654">DWO11*0.0425</f>
        <v>0</v>
      </c>
      <c r="DWQ16" s="238">
        <f t="shared" ref="DWQ16" si="1655">DWQ11*0.0425</f>
        <v>0</v>
      </c>
      <c r="DWS16" s="238">
        <f t="shared" ref="DWS16" si="1656">DWS11*0.0425</f>
        <v>0</v>
      </c>
      <c r="DWU16" s="238">
        <f t="shared" ref="DWU16" si="1657">DWU11*0.0425</f>
        <v>0</v>
      </c>
      <c r="DWW16" s="238">
        <f t="shared" ref="DWW16" si="1658">DWW11*0.0425</f>
        <v>0</v>
      </c>
      <c r="DWY16" s="238">
        <f t="shared" ref="DWY16" si="1659">DWY11*0.0425</f>
        <v>0</v>
      </c>
      <c r="DXA16" s="238">
        <f t="shared" ref="DXA16" si="1660">DXA11*0.0425</f>
        <v>0</v>
      </c>
      <c r="DXC16" s="238">
        <f t="shared" ref="DXC16" si="1661">DXC11*0.0425</f>
        <v>0</v>
      </c>
      <c r="DXE16" s="238">
        <f t="shared" ref="DXE16" si="1662">DXE11*0.0425</f>
        <v>0</v>
      </c>
      <c r="DXG16" s="238">
        <f t="shared" ref="DXG16" si="1663">DXG11*0.0425</f>
        <v>0</v>
      </c>
      <c r="DXI16" s="238">
        <f t="shared" ref="DXI16" si="1664">DXI11*0.0425</f>
        <v>0</v>
      </c>
      <c r="DXK16" s="238">
        <f t="shared" ref="DXK16" si="1665">DXK11*0.0425</f>
        <v>0</v>
      </c>
      <c r="DXM16" s="238">
        <f t="shared" ref="DXM16" si="1666">DXM11*0.0425</f>
        <v>0</v>
      </c>
      <c r="DXO16" s="238">
        <f t="shared" ref="DXO16" si="1667">DXO11*0.0425</f>
        <v>0</v>
      </c>
      <c r="DXQ16" s="238">
        <f t="shared" ref="DXQ16" si="1668">DXQ11*0.0425</f>
        <v>0</v>
      </c>
      <c r="DXS16" s="238">
        <f t="shared" ref="DXS16" si="1669">DXS11*0.0425</f>
        <v>0</v>
      </c>
      <c r="DXU16" s="238">
        <f t="shared" ref="DXU16" si="1670">DXU11*0.0425</f>
        <v>0</v>
      </c>
      <c r="DXW16" s="238">
        <f t="shared" ref="DXW16" si="1671">DXW11*0.0425</f>
        <v>0</v>
      </c>
      <c r="DXY16" s="238">
        <f t="shared" ref="DXY16" si="1672">DXY11*0.0425</f>
        <v>0</v>
      </c>
      <c r="DYA16" s="238">
        <f t="shared" ref="DYA16" si="1673">DYA11*0.0425</f>
        <v>0</v>
      </c>
      <c r="DYC16" s="238">
        <f t="shared" ref="DYC16" si="1674">DYC11*0.0425</f>
        <v>0</v>
      </c>
      <c r="DYE16" s="238">
        <f t="shared" ref="DYE16" si="1675">DYE11*0.0425</f>
        <v>0</v>
      </c>
      <c r="DYG16" s="238">
        <f t="shared" ref="DYG16" si="1676">DYG11*0.0425</f>
        <v>0</v>
      </c>
      <c r="DYI16" s="238">
        <f t="shared" ref="DYI16" si="1677">DYI11*0.0425</f>
        <v>0</v>
      </c>
      <c r="DYK16" s="238">
        <f t="shared" ref="DYK16" si="1678">DYK11*0.0425</f>
        <v>0</v>
      </c>
      <c r="DYM16" s="238">
        <f t="shared" ref="DYM16" si="1679">DYM11*0.0425</f>
        <v>0</v>
      </c>
      <c r="DYO16" s="238">
        <f t="shared" ref="DYO16" si="1680">DYO11*0.0425</f>
        <v>0</v>
      </c>
      <c r="DYQ16" s="238">
        <f t="shared" ref="DYQ16" si="1681">DYQ11*0.0425</f>
        <v>0</v>
      </c>
      <c r="DYS16" s="238">
        <f t="shared" ref="DYS16" si="1682">DYS11*0.0425</f>
        <v>0</v>
      </c>
      <c r="DYU16" s="238">
        <f t="shared" ref="DYU16" si="1683">DYU11*0.0425</f>
        <v>0</v>
      </c>
      <c r="DYW16" s="238">
        <f t="shared" ref="DYW16" si="1684">DYW11*0.0425</f>
        <v>0</v>
      </c>
      <c r="DYY16" s="238">
        <f t="shared" ref="DYY16" si="1685">DYY11*0.0425</f>
        <v>0</v>
      </c>
      <c r="DZA16" s="238">
        <f t="shared" ref="DZA16" si="1686">DZA11*0.0425</f>
        <v>0</v>
      </c>
      <c r="DZC16" s="238">
        <f t="shared" ref="DZC16" si="1687">DZC11*0.0425</f>
        <v>0</v>
      </c>
      <c r="DZE16" s="238">
        <f t="shared" ref="DZE16" si="1688">DZE11*0.0425</f>
        <v>0</v>
      </c>
      <c r="DZG16" s="238">
        <f t="shared" ref="DZG16" si="1689">DZG11*0.0425</f>
        <v>0</v>
      </c>
      <c r="DZI16" s="238">
        <f t="shared" ref="DZI16" si="1690">DZI11*0.0425</f>
        <v>0</v>
      </c>
      <c r="DZK16" s="238">
        <f t="shared" ref="DZK16" si="1691">DZK11*0.0425</f>
        <v>0</v>
      </c>
      <c r="DZM16" s="238">
        <f t="shared" ref="DZM16" si="1692">DZM11*0.0425</f>
        <v>0</v>
      </c>
      <c r="DZO16" s="238">
        <f t="shared" ref="DZO16" si="1693">DZO11*0.0425</f>
        <v>0</v>
      </c>
      <c r="DZQ16" s="238">
        <f t="shared" ref="DZQ16" si="1694">DZQ11*0.0425</f>
        <v>0</v>
      </c>
      <c r="DZS16" s="238">
        <f t="shared" ref="DZS16" si="1695">DZS11*0.0425</f>
        <v>0</v>
      </c>
      <c r="DZU16" s="238">
        <f t="shared" ref="DZU16" si="1696">DZU11*0.0425</f>
        <v>0</v>
      </c>
      <c r="DZW16" s="238">
        <f t="shared" ref="DZW16" si="1697">DZW11*0.0425</f>
        <v>0</v>
      </c>
      <c r="DZY16" s="238">
        <f t="shared" ref="DZY16" si="1698">DZY11*0.0425</f>
        <v>0</v>
      </c>
      <c r="EAA16" s="238">
        <f t="shared" ref="EAA16" si="1699">EAA11*0.0425</f>
        <v>0</v>
      </c>
      <c r="EAC16" s="238">
        <f t="shared" ref="EAC16" si="1700">EAC11*0.0425</f>
        <v>0</v>
      </c>
      <c r="EAE16" s="238">
        <f t="shared" ref="EAE16" si="1701">EAE11*0.0425</f>
        <v>0</v>
      </c>
      <c r="EAG16" s="238">
        <f t="shared" ref="EAG16" si="1702">EAG11*0.0425</f>
        <v>0</v>
      </c>
      <c r="EAI16" s="238">
        <f t="shared" ref="EAI16" si="1703">EAI11*0.0425</f>
        <v>0</v>
      </c>
      <c r="EAK16" s="238">
        <f t="shared" ref="EAK16" si="1704">EAK11*0.0425</f>
        <v>0</v>
      </c>
      <c r="EAM16" s="238">
        <f t="shared" ref="EAM16" si="1705">EAM11*0.0425</f>
        <v>0</v>
      </c>
      <c r="EAO16" s="238">
        <f t="shared" ref="EAO16" si="1706">EAO11*0.0425</f>
        <v>0</v>
      </c>
      <c r="EAQ16" s="238">
        <f t="shared" ref="EAQ16" si="1707">EAQ11*0.0425</f>
        <v>0</v>
      </c>
      <c r="EAS16" s="238">
        <f t="shared" ref="EAS16" si="1708">EAS11*0.0425</f>
        <v>0</v>
      </c>
      <c r="EAU16" s="238">
        <f t="shared" ref="EAU16" si="1709">EAU11*0.0425</f>
        <v>0</v>
      </c>
      <c r="EAW16" s="238">
        <f t="shared" ref="EAW16" si="1710">EAW11*0.0425</f>
        <v>0</v>
      </c>
      <c r="EAY16" s="238">
        <f t="shared" ref="EAY16" si="1711">EAY11*0.0425</f>
        <v>0</v>
      </c>
      <c r="EBA16" s="238">
        <f t="shared" ref="EBA16" si="1712">EBA11*0.0425</f>
        <v>0</v>
      </c>
      <c r="EBC16" s="238">
        <f t="shared" ref="EBC16" si="1713">EBC11*0.0425</f>
        <v>0</v>
      </c>
      <c r="EBE16" s="238">
        <f t="shared" ref="EBE16" si="1714">EBE11*0.0425</f>
        <v>0</v>
      </c>
      <c r="EBG16" s="238">
        <f t="shared" ref="EBG16" si="1715">EBG11*0.0425</f>
        <v>0</v>
      </c>
      <c r="EBI16" s="238">
        <f t="shared" ref="EBI16" si="1716">EBI11*0.0425</f>
        <v>0</v>
      </c>
      <c r="EBK16" s="238">
        <f t="shared" ref="EBK16" si="1717">EBK11*0.0425</f>
        <v>0</v>
      </c>
      <c r="EBM16" s="238">
        <f t="shared" ref="EBM16" si="1718">EBM11*0.0425</f>
        <v>0</v>
      </c>
      <c r="EBO16" s="238">
        <f t="shared" ref="EBO16" si="1719">EBO11*0.0425</f>
        <v>0</v>
      </c>
      <c r="EBQ16" s="238">
        <f t="shared" ref="EBQ16" si="1720">EBQ11*0.0425</f>
        <v>0</v>
      </c>
      <c r="EBS16" s="238">
        <f t="shared" ref="EBS16" si="1721">EBS11*0.0425</f>
        <v>0</v>
      </c>
      <c r="EBU16" s="238">
        <f t="shared" ref="EBU16" si="1722">EBU11*0.0425</f>
        <v>0</v>
      </c>
      <c r="EBW16" s="238">
        <f t="shared" ref="EBW16" si="1723">EBW11*0.0425</f>
        <v>0</v>
      </c>
      <c r="EBY16" s="238">
        <f t="shared" ref="EBY16" si="1724">EBY11*0.0425</f>
        <v>0</v>
      </c>
      <c r="ECA16" s="238">
        <f t="shared" ref="ECA16" si="1725">ECA11*0.0425</f>
        <v>0</v>
      </c>
      <c r="ECC16" s="238">
        <f t="shared" ref="ECC16" si="1726">ECC11*0.0425</f>
        <v>0</v>
      </c>
      <c r="ECE16" s="238">
        <f t="shared" ref="ECE16" si="1727">ECE11*0.0425</f>
        <v>0</v>
      </c>
      <c r="ECG16" s="238">
        <f t="shared" ref="ECG16" si="1728">ECG11*0.0425</f>
        <v>0</v>
      </c>
      <c r="ECI16" s="238">
        <f t="shared" ref="ECI16" si="1729">ECI11*0.0425</f>
        <v>0</v>
      </c>
      <c r="ECK16" s="238">
        <f t="shared" ref="ECK16" si="1730">ECK11*0.0425</f>
        <v>0</v>
      </c>
      <c r="ECM16" s="238">
        <f t="shared" ref="ECM16" si="1731">ECM11*0.0425</f>
        <v>0</v>
      </c>
      <c r="ECO16" s="238">
        <f t="shared" ref="ECO16" si="1732">ECO11*0.0425</f>
        <v>0</v>
      </c>
      <c r="ECQ16" s="238">
        <f t="shared" ref="ECQ16" si="1733">ECQ11*0.0425</f>
        <v>0</v>
      </c>
      <c r="ECS16" s="238">
        <f t="shared" ref="ECS16" si="1734">ECS11*0.0425</f>
        <v>0</v>
      </c>
      <c r="ECU16" s="238">
        <f t="shared" ref="ECU16" si="1735">ECU11*0.0425</f>
        <v>0</v>
      </c>
      <c r="ECW16" s="238">
        <f t="shared" ref="ECW16" si="1736">ECW11*0.0425</f>
        <v>0</v>
      </c>
      <c r="ECY16" s="238">
        <f t="shared" ref="ECY16" si="1737">ECY11*0.0425</f>
        <v>0</v>
      </c>
      <c r="EDA16" s="238">
        <f t="shared" ref="EDA16" si="1738">EDA11*0.0425</f>
        <v>0</v>
      </c>
      <c r="EDC16" s="238">
        <f t="shared" ref="EDC16" si="1739">EDC11*0.0425</f>
        <v>0</v>
      </c>
      <c r="EDE16" s="238">
        <f t="shared" ref="EDE16" si="1740">EDE11*0.0425</f>
        <v>0</v>
      </c>
      <c r="EDG16" s="238">
        <f t="shared" ref="EDG16" si="1741">EDG11*0.0425</f>
        <v>0</v>
      </c>
      <c r="EDI16" s="238">
        <f t="shared" ref="EDI16" si="1742">EDI11*0.0425</f>
        <v>0</v>
      </c>
      <c r="EDK16" s="238">
        <f t="shared" ref="EDK16" si="1743">EDK11*0.0425</f>
        <v>0</v>
      </c>
      <c r="EDM16" s="238">
        <f t="shared" ref="EDM16" si="1744">EDM11*0.0425</f>
        <v>0</v>
      </c>
      <c r="EDO16" s="238">
        <f t="shared" ref="EDO16" si="1745">EDO11*0.0425</f>
        <v>0</v>
      </c>
      <c r="EDQ16" s="238">
        <f t="shared" ref="EDQ16" si="1746">EDQ11*0.0425</f>
        <v>0</v>
      </c>
      <c r="EDS16" s="238">
        <f t="shared" ref="EDS16" si="1747">EDS11*0.0425</f>
        <v>0</v>
      </c>
      <c r="EDU16" s="238">
        <f t="shared" ref="EDU16" si="1748">EDU11*0.0425</f>
        <v>0</v>
      </c>
      <c r="EDW16" s="238">
        <f t="shared" ref="EDW16" si="1749">EDW11*0.0425</f>
        <v>0</v>
      </c>
      <c r="EDY16" s="238">
        <f t="shared" ref="EDY16" si="1750">EDY11*0.0425</f>
        <v>0</v>
      </c>
      <c r="EEA16" s="238">
        <f t="shared" ref="EEA16" si="1751">EEA11*0.0425</f>
        <v>0</v>
      </c>
      <c r="EEC16" s="238">
        <f t="shared" ref="EEC16" si="1752">EEC11*0.0425</f>
        <v>0</v>
      </c>
      <c r="EEE16" s="238">
        <f t="shared" ref="EEE16" si="1753">EEE11*0.0425</f>
        <v>0</v>
      </c>
      <c r="EEG16" s="238">
        <f t="shared" ref="EEG16" si="1754">EEG11*0.0425</f>
        <v>0</v>
      </c>
      <c r="EEI16" s="238">
        <f t="shared" ref="EEI16" si="1755">EEI11*0.0425</f>
        <v>0</v>
      </c>
      <c r="EEK16" s="238">
        <f t="shared" ref="EEK16" si="1756">EEK11*0.0425</f>
        <v>0</v>
      </c>
      <c r="EEM16" s="238">
        <f t="shared" ref="EEM16" si="1757">EEM11*0.0425</f>
        <v>0</v>
      </c>
      <c r="EEO16" s="238">
        <f t="shared" ref="EEO16" si="1758">EEO11*0.0425</f>
        <v>0</v>
      </c>
      <c r="EEQ16" s="238">
        <f t="shared" ref="EEQ16" si="1759">EEQ11*0.0425</f>
        <v>0</v>
      </c>
      <c r="EES16" s="238">
        <f t="shared" ref="EES16" si="1760">EES11*0.0425</f>
        <v>0</v>
      </c>
      <c r="EEU16" s="238">
        <f t="shared" ref="EEU16" si="1761">EEU11*0.0425</f>
        <v>0</v>
      </c>
      <c r="EEW16" s="238">
        <f t="shared" ref="EEW16" si="1762">EEW11*0.0425</f>
        <v>0</v>
      </c>
      <c r="EEY16" s="238">
        <f t="shared" ref="EEY16" si="1763">EEY11*0.0425</f>
        <v>0</v>
      </c>
      <c r="EFA16" s="238">
        <f t="shared" ref="EFA16" si="1764">EFA11*0.0425</f>
        <v>0</v>
      </c>
      <c r="EFC16" s="238">
        <f t="shared" ref="EFC16" si="1765">EFC11*0.0425</f>
        <v>0</v>
      </c>
      <c r="EFE16" s="238">
        <f t="shared" ref="EFE16" si="1766">EFE11*0.0425</f>
        <v>0</v>
      </c>
      <c r="EFG16" s="238">
        <f t="shared" ref="EFG16" si="1767">EFG11*0.0425</f>
        <v>0</v>
      </c>
      <c r="EFI16" s="238">
        <f t="shared" ref="EFI16" si="1768">EFI11*0.0425</f>
        <v>0</v>
      </c>
      <c r="EFK16" s="238">
        <f t="shared" ref="EFK16" si="1769">EFK11*0.0425</f>
        <v>0</v>
      </c>
      <c r="EFM16" s="238">
        <f t="shared" ref="EFM16" si="1770">EFM11*0.0425</f>
        <v>0</v>
      </c>
      <c r="EFO16" s="238">
        <f t="shared" ref="EFO16" si="1771">EFO11*0.0425</f>
        <v>0</v>
      </c>
      <c r="EFQ16" s="238">
        <f t="shared" ref="EFQ16" si="1772">EFQ11*0.0425</f>
        <v>0</v>
      </c>
      <c r="EFS16" s="238">
        <f t="shared" ref="EFS16" si="1773">EFS11*0.0425</f>
        <v>0</v>
      </c>
      <c r="EFU16" s="238">
        <f t="shared" ref="EFU16" si="1774">EFU11*0.0425</f>
        <v>0</v>
      </c>
      <c r="EFW16" s="238">
        <f t="shared" ref="EFW16" si="1775">EFW11*0.0425</f>
        <v>0</v>
      </c>
      <c r="EFY16" s="238">
        <f t="shared" ref="EFY16" si="1776">EFY11*0.0425</f>
        <v>0</v>
      </c>
      <c r="EGA16" s="238">
        <f t="shared" ref="EGA16" si="1777">EGA11*0.0425</f>
        <v>0</v>
      </c>
      <c r="EGC16" s="238">
        <f t="shared" ref="EGC16" si="1778">EGC11*0.0425</f>
        <v>0</v>
      </c>
      <c r="EGE16" s="238">
        <f t="shared" ref="EGE16" si="1779">EGE11*0.0425</f>
        <v>0</v>
      </c>
      <c r="EGG16" s="238">
        <f t="shared" ref="EGG16" si="1780">EGG11*0.0425</f>
        <v>0</v>
      </c>
      <c r="EGI16" s="238">
        <f t="shared" ref="EGI16" si="1781">EGI11*0.0425</f>
        <v>0</v>
      </c>
      <c r="EGK16" s="238">
        <f t="shared" ref="EGK16" si="1782">EGK11*0.0425</f>
        <v>0</v>
      </c>
      <c r="EGM16" s="238">
        <f t="shared" ref="EGM16" si="1783">EGM11*0.0425</f>
        <v>0</v>
      </c>
      <c r="EGO16" s="238">
        <f t="shared" ref="EGO16" si="1784">EGO11*0.0425</f>
        <v>0</v>
      </c>
      <c r="EGQ16" s="238">
        <f t="shared" ref="EGQ16" si="1785">EGQ11*0.0425</f>
        <v>0</v>
      </c>
      <c r="EGS16" s="238">
        <f t="shared" ref="EGS16" si="1786">EGS11*0.0425</f>
        <v>0</v>
      </c>
      <c r="EGU16" s="238">
        <f t="shared" ref="EGU16" si="1787">EGU11*0.0425</f>
        <v>0</v>
      </c>
      <c r="EGW16" s="238">
        <f t="shared" ref="EGW16" si="1788">EGW11*0.0425</f>
        <v>0</v>
      </c>
      <c r="EGY16" s="238">
        <f t="shared" ref="EGY16" si="1789">EGY11*0.0425</f>
        <v>0</v>
      </c>
      <c r="EHA16" s="238">
        <f t="shared" ref="EHA16" si="1790">EHA11*0.0425</f>
        <v>0</v>
      </c>
      <c r="EHC16" s="238">
        <f t="shared" ref="EHC16" si="1791">EHC11*0.0425</f>
        <v>0</v>
      </c>
      <c r="EHE16" s="238">
        <f t="shared" ref="EHE16" si="1792">EHE11*0.0425</f>
        <v>0</v>
      </c>
      <c r="EHG16" s="238">
        <f t="shared" ref="EHG16" si="1793">EHG11*0.0425</f>
        <v>0</v>
      </c>
      <c r="EHI16" s="238">
        <f t="shared" ref="EHI16" si="1794">EHI11*0.0425</f>
        <v>0</v>
      </c>
      <c r="EHK16" s="238">
        <f t="shared" ref="EHK16" si="1795">EHK11*0.0425</f>
        <v>0</v>
      </c>
      <c r="EHM16" s="238">
        <f t="shared" ref="EHM16" si="1796">EHM11*0.0425</f>
        <v>0</v>
      </c>
      <c r="EHO16" s="238">
        <f t="shared" ref="EHO16" si="1797">EHO11*0.0425</f>
        <v>0</v>
      </c>
      <c r="EHQ16" s="238">
        <f t="shared" ref="EHQ16" si="1798">EHQ11*0.0425</f>
        <v>0</v>
      </c>
      <c r="EHS16" s="238">
        <f t="shared" ref="EHS16" si="1799">EHS11*0.0425</f>
        <v>0</v>
      </c>
      <c r="EHU16" s="238">
        <f t="shared" ref="EHU16" si="1800">EHU11*0.0425</f>
        <v>0</v>
      </c>
      <c r="EHW16" s="238">
        <f t="shared" ref="EHW16" si="1801">EHW11*0.0425</f>
        <v>0</v>
      </c>
      <c r="EHY16" s="238">
        <f t="shared" ref="EHY16" si="1802">EHY11*0.0425</f>
        <v>0</v>
      </c>
      <c r="EIA16" s="238">
        <f t="shared" ref="EIA16" si="1803">EIA11*0.0425</f>
        <v>0</v>
      </c>
      <c r="EIC16" s="238">
        <f t="shared" ref="EIC16" si="1804">EIC11*0.0425</f>
        <v>0</v>
      </c>
      <c r="EIE16" s="238">
        <f t="shared" ref="EIE16" si="1805">EIE11*0.0425</f>
        <v>0</v>
      </c>
      <c r="EIG16" s="238">
        <f t="shared" ref="EIG16" si="1806">EIG11*0.0425</f>
        <v>0</v>
      </c>
      <c r="EII16" s="238">
        <f t="shared" ref="EII16" si="1807">EII11*0.0425</f>
        <v>0</v>
      </c>
      <c r="EIK16" s="238">
        <f t="shared" ref="EIK16" si="1808">EIK11*0.0425</f>
        <v>0</v>
      </c>
      <c r="EIM16" s="238">
        <f t="shared" ref="EIM16" si="1809">EIM11*0.0425</f>
        <v>0</v>
      </c>
      <c r="EIO16" s="238">
        <f t="shared" ref="EIO16" si="1810">EIO11*0.0425</f>
        <v>0</v>
      </c>
      <c r="EIQ16" s="238">
        <f t="shared" ref="EIQ16" si="1811">EIQ11*0.0425</f>
        <v>0</v>
      </c>
      <c r="EIS16" s="238">
        <f t="shared" ref="EIS16" si="1812">EIS11*0.0425</f>
        <v>0</v>
      </c>
      <c r="EIU16" s="238">
        <f t="shared" ref="EIU16" si="1813">EIU11*0.0425</f>
        <v>0</v>
      </c>
      <c r="EIW16" s="238">
        <f t="shared" ref="EIW16" si="1814">EIW11*0.0425</f>
        <v>0</v>
      </c>
      <c r="EIY16" s="238">
        <f t="shared" ref="EIY16" si="1815">EIY11*0.0425</f>
        <v>0</v>
      </c>
      <c r="EJA16" s="238">
        <f t="shared" ref="EJA16" si="1816">EJA11*0.0425</f>
        <v>0</v>
      </c>
      <c r="EJC16" s="238">
        <f t="shared" ref="EJC16" si="1817">EJC11*0.0425</f>
        <v>0</v>
      </c>
      <c r="EJE16" s="238">
        <f t="shared" ref="EJE16" si="1818">EJE11*0.0425</f>
        <v>0</v>
      </c>
      <c r="EJG16" s="238">
        <f t="shared" ref="EJG16" si="1819">EJG11*0.0425</f>
        <v>0</v>
      </c>
      <c r="EJI16" s="238">
        <f t="shared" ref="EJI16" si="1820">EJI11*0.0425</f>
        <v>0</v>
      </c>
      <c r="EJK16" s="238">
        <f t="shared" ref="EJK16" si="1821">EJK11*0.0425</f>
        <v>0</v>
      </c>
      <c r="EJM16" s="238">
        <f t="shared" ref="EJM16" si="1822">EJM11*0.0425</f>
        <v>0</v>
      </c>
      <c r="EJO16" s="238">
        <f t="shared" ref="EJO16" si="1823">EJO11*0.0425</f>
        <v>0</v>
      </c>
      <c r="EJQ16" s="238">
        <f t="shared" ref="EJQ16" si="1824">EJQ11*0.0425</f>
        <v>0</v>
      </c>
      <c r="EJS16" s="238">
        <f t="shared" ref="EJS16" si="1825">EJS11*0.0425</f>
        <v>0</v>
      </c>
      <c r="EJU16" s="238">
        <f t="shared" ref="EJU16" si="1826">EJU11*0.0425</f>
        <v>0</v>
      </c>
      <c r="EJW16" s="238">
        <f t="shared" ref="EJW16" si="1827">EJW11*0.0425</f>
        <v>0</v>
      </c>
      <c r="EJY16" s="238">
        <f t="shared" ref="EJY16" si="1828">EJY11*0.0425</f>
        <v>0</v>
      </c>
      <c r="EKA16" s="238">
        <f t="shared" ref="EKA16" si="1829">EKA11*0.0425</f>
        <v>0</v>
      </c>
      <c r="EKC16" s="238">
        <f t="shared" ref="EKC16" si="1830">EKC11*0.0425</f>
        <v>0</v>
      </c>
      <c r="EKE16" s="238">
        <f t="shared" ref="EKE16" si="1831">EKE11*0.0425</f>
        <v>0</v>
      </c>
      <c r="EKG16" s="238">
        <f t="shared" ref="EKG16" si="1832">EKG11*0.0425</f>
        <v>0</v>
      </c>
      <c r="EKI16" s="238">
        <f t="shared" ref="EKI16" si="1833">EKI11*0.0425</f>
        <v>0</v>
      </c>
      <c r="EKK16" s="238">
        <f t="shared" ref="EKK16" si="1834">EKK11*0.0425</f>
        <v>0</v>
      </c>
      <c r="EKM16" s="238">
        <f t="shared" ref="EKM16" si="1835">EKM11*0.0425</f>
        <v>0</v>
      </c>
      <c r="EKO16" s="238">
        <f t="shared" ref="EKO16" si="1836">EKO11*0.0425</f>
        <v>0</v>
      </c>
      <c r="EKQ16" s="238">
        <f t="shared" ref="EKQ16" si="1837">EKQ11*0.0425</f>
        <v>0</v>
      </c>
      <c r="EKS16" s="238">
        <f t="shared" ref="EKS16" si="1838">EKS11*0.0425</f>
        <v>0</v>
      </c>
      <c r="EKU16" s="238">
        <f t="shared" ref="EKU16" si="1839">EKU11*0.0425</f>
        <v>0</v>
      </c>
      <c r="EKW16" s="238">
        <f t="shared" ref="EKW16" si="1840">EKW11*0.0425</f>
        <v>0</v>
      </c>
      <c r="EKY16" s="238">
        <f t="shared" ref="EKY16" si="1841">EKY11*0.0425</f>
        <v>0</v>
      </c>
      <c r="ELA16" s="238">
        <f t="shared" ref="ELA16" si="1842">ELA11*0.0425</f>
        <v>0</v>
      </c>
      <c r="ELC16" s="238">
        <f t="shared" ref="ELC16" si="1843">ELC11*0.0425</f>
        <v>0</v>
      </c>
      <c r="ELE16" s="238">
        <f t="shared" ref="ELE16" si="1844">ELE11*0.0425</f>
        <v>0</v>
      </c>
      <c r="ELG16" s="238">
        <f t="shared" ref="ELG16" si="1845">ELG11*0.0425</f>
        <v>0</v>
      </c>
      <c r="ELI16" s="238">
        <f t="shared" ref="ELI16" si="1846">ELI11*0.0425</f>
        <v>0</v>
      </c>
      <c r="ELK16" s="238">
        <f t="shared" ref="ELK16" si="1847">ELK11*0.0425</f>
        <v>0</v>
      </c>
      <c r="ELM16" s="238">
        <f t="shared" ref="ELM16" si="1848">ELM11*0.0425</f>
        <v>0</v>
      </c>
      <c r="ELO16" s="238">
        <f t="shared" ref="ELO16" si="1849">ELO11*0.0425</f>
        <v>0</v>
      </c>
      <c r="ELQ16" s="238">
        <f t="shared" ref="ELQ16" si="1850">ELQ11*0.0425</f>
        <v>0</v>
      </c>
      <c r="ELS16" s="238">
        <f t="shared" ref="ELS16" si="1851">ELS11*0.0425</f>
        <v>0</v>
      </c>
      <c r="ELU16" s="238">
        <f t="shared" ref="ELU16" si="1852">ELU11*0.0425</f>
        <v>0</v>
      </c>
      <c r="ELW16" s="238">
        <f t="shared" ref="ELW16" si="1853">ELW11*0.0425</f>
        <v>0</v>
      </c>
      <c r="ELY16" s="238">
        <f t="shared" ref="ELY16" si="1854">ELY11*0.0425</f>
        <v>0</v>
      </c>
      <c r="EMA16" s="238">
        <f t="shared" ref="EMA16" si="1855">EMA11*0.0425</f>
        <v>0</v>
      </c>
      <c r="EMC16" s="238">
        <f t="shared" ref="EMC16" si="1856">EMC11*0.0425</f>
        <v>0</v>
      </c>
      <c r="EME16" s="238">
        <f t="shared" ref="EME16" si="1857">EME11*0.0425</f>
        <v>0</v>
      </c>
      <c r="EMG16" s="238">
        <f t="shared" ref="EMG16" si="1858">EMG11*0.0425</f>
        <v>0</v>
      </c>
      <c r="EMI16" s="238">
        <f t="shared" ref="EMI16" si="1859">EMI11*0.0425</f>
        <v>0</v>
      </c>
      <c r="EMK16" s="238">
        <f t="shared" ref="EMK16" si="1860">EMK11*0.0425</f>
        <v>0</v>
      </c>
      <c r="EMM16" s="238">
        <f t="shared" ref="EMM16" si="1861">EMM11*0.0425</f>
        <v>0</v>
      </c>
      <c r="EMO16" s="238">
        <f t="shared" ref="EMO16" si="1862">EMO11*0.0425</f>
        <v>0</v>
      </c>
      <c r="EMQ16" s="238">
        <f t="shared" ref="EMQ16" si="1863">EMQ11*0.0425</f>
        <v>0</v>
      </c>
      <c r="EMS16" s="238">
        <f t="shared" ref="EMS16" si="1864">EMS11*0.0425</f>
        <v>0</v>
      </c>
      <c r="EMU16" s="238">
        <f t="shared" ref="EMU16" si="1865">EMU11*0.0425</f>
        <v>0</v>
      </c>
      <c r="EMW16" s="238">
        <f t="shared" ref="EMW16" si="1866">EMW11*0.0425</f>
        <v>0</v>
      </c>
      <c r="EMY16" s="238">
        <f t="shared" ref="EMY16" si="1867">EMY11*0.0425</f>
        <v>0</v>
      </c>
      <c r="ENA16" s="238">
        <f t="shared" ref="ENA16" si="1868">ENA11*0.0425</f>
        <v>0</v>
      </c>
      <c r="ENC16" s="238">
        <f t="shared" ref="ENC16" si="1869">ENC11*0.0425</f>
        <v>0</v>
      </c>
      <c r="ENE16" s="238">
        <f t="shared" ref="ENE16" si="1870">ENE11*0.0425</f>
        <v>0</v>
      </c>
      <c r="ENG16" s="238">
        <f t="shared" ref="ENG16" si="1871">ENG11*0.0425</f>
        <v>0</v>
      </c>
      <c r="ENI16" s="238">
        <f t="shared" ref="ENI16" si="1872">ENI11*0.0425</f>
        <v>0</v>
      </c>
      <c r="ENK16" s="238">
        <f t="shared" ref="ENK16" si="1873">ENK11*0.0425</f>
        <v>0</v>
      </c>
      <c r="ENM16" s="238">
        <f t="shared" ref="ENM16" si="1874">ENM11*0.0425</f>
        <v>0</v>
      </c>
      <c r="ENO16" s="238">
        <f t="shared" ref="ENO16" si="1875">ENO11*0.0425</f>
        <v>0</v>
      </c>
      <c r="ENQ16" s="238">
        <f t="shared" ref="ENQ16" si="1876">ENQ11*0.0425</f>
        <v>0</v>
      </c>
      <c r="ENS16" s="238">
        <f t="shared" ref="ENS16" si="1877">ENS11*0.0425</f>
        <v>0</v>
      </c>
      <c r="ENU16" s="238">
        <f t="shared" ref="ENU16" si="1878">ENU11*0.0425</f>
        <v>0</v>
      </c>
      <c r="ENW16" s="238">
        <f t="shared" ref="ENW16" si="1879">ENW11*0.0425</f>
        <v>0</v>
      </c>
      <c r="ENY16" s="238">
        <f t="shared" ref="ENY16" si="1880">ENY11*0.0425</f>
        <v>0</v>
      </c>
      <c r="EOA16" s="238">
        <f t="shared" ref="EOA16" si="1881">EOA11*0.0425</f>
        <v>0</v>
      </c>
      <c r="EOC16" s="238">
        <f t="shared" ref="EOC16" si="1882">EOC11*0.0425</f>
        <v>0</v>
      </c>
      <c r="EOE16" s="238">
        <f t="shared" ref="EOE16" si="1883">EOE11*0.0425</f>
        <v>0</v>
      </c>
      <c r="EOG16" s="238">
        <f t="shared" ref="EOG16" si="1884">EOG11*0.0425</f>
        <v>0</v>
      </c>
      <c r="EOI16" s="238">
        <f t="shared" ref="EOI16" si="1885">EOI11*0.0425</f>
        <v>0</v>
      </c>
      <c r="EOK16" s="238">
        <f t="shared" ref="EOK16" si="1886">EOK11*0.0425</f>
        <v>0</v>
      </c>
      <c r="EOM16" s="238">
        <f t="shared" ref="EOM16" si="1887">EOM11*0.0425</f>
        <v>0</v>
      </c>
      <c r="EOO16" s="238">
        <f t="shared" ref="EOO16" si="1888">EOO11*0.0425</f>
        <v>0</v>
      </c>
      <c r="EOQ16" s="238">
        <f t="shared" ref="EOQ16" si="1889">EOQ11*0.0425</f>
        <v>0</v>
      </c>
      <c r="EOS16" s="238">
        <f t="shared" ref="EOS16" si="1890">EOS11*0.0425</f>
        <v>0</v>
      </c>
      <c r="EOU16" s="238">
        <f t="shared" ref="EOU16" si="1891">EOU11*0.0425</f>
        <v>0</v>
      </c>
      <c r="EOW16" s="238">
        <f t="shared" ref="EOW16" si="1892">EOW11*0.0425</f>
        <v>0</v>
      </c>
      <c r="EOY16" s="238">
        <f t="shared" ref="EOY16" si="1893">EOY11*0.0425</f>
        <v>0</v>
      </c>
      <c r="EPA16" s="238">
        <f t="shared" ref="EPA16" si="1894">EPA11*0.0425</f>
        <v>0</v>
      </c>
      <c r="EPC16" s="238">
        <f t="shared" ref="EPC16" si="1895">EPC11*0.0425</f>
        <v>0</v>
      </c>
      <c r="EPE16" s="238">
        <f t="shared" ref="EPE16" si="1896">EPE11*0.0425</f>
        <v>0</v>
      </c>
      <c r="EPG16" s="238">
        <f t="shared" ref="EPG16" si="1897">EPG11*0.0425</f>
        <v>0</v>
      </c>
      <c r="EPI16" s="238">
        <f t="shared" ref="EPI16" si="1898">EPI11*0.0425</f>
        <v>0</v>
      </c>
      <c r="EPK16" s="238">
        <f t="shared" ref="EPK16" si="1899">EPK11*0.0425</f>
        <v>0</v>
      </c>
      <c r="EPM16" s="238">
        <f t="shared" ref="EPM16" si="1900">EPM11*0.0425</f>
        <v>0</v>
      </c>
      <c r="EPO16" s="238">
        <f t="shared" ref="EPO16" si="1901">EPO11*0.0425</f>
        <v>0</v>
      </c>
      <c r="EPQ16" s="238">
        <f t="shared" ref="EPQ16" si="1902">EPQ11*0.0425</f>
        <v>0</v>
      </c>
      <c r="EPS16" s="238">
        <f t="shared" ref="EPS16" si="1903">EPS11*0.0425</f>
        <v>0</v>
      </c>
      <c r="EPU16" s="238">
        <f t="shared" ref="EPU16" si="1904">EPU11*0.0425</f>
        <v>0</v>
      </c>
      <c r="EPW16" s="238">
        <f t="shared" ref="EPW16" si="1905">EPW11*0.0425</f>
        <v>0</v>
      </c>
      <c r="EPY16" s="238">
        <f t="shared" ref="EPY16" si="1906">EPY11*0.0425</f>
        <v>0</v>
      </c>
      <c r="EQA16" s="238">
        <f t="shared" ref="EQA16" si="1907">EQA11*0.0425</f>
        <v>0</v>
      </c>
      <c r="EQC16" s="238">
        <f t="shared" ref="EQC16" si="1908">EQC11*0.0425</f>
        <v>0</v>
      </c>
      <c r="EQE16" s="238">
        <f t="shared" ref="EQE16" si="1909">EQE11*0.0425</f>
        <v>0</v>
      </c>
      <c r="EQG16" s="238">
        <f t="shared" ref="EQG16" si="1910">EQG11*0.0425</f>
        <v>0</v>
      </c>
      <c r="EQI16" s="238">
        <f t="shared" ref="EQI16" si="1911">EQI11*0.0425</f>
        <v>0</v>
      </c>
      <c r="EQK16" s="238">
        <f t="shared" ref="EQK16" si="1912">EQK11*0.0425</f>
        <v>0</v>
      </c>
      <c r="EQM16" s="238">
        <f t="shared" ref="EQM16" si="1913">EQM11*0.0425</f>
        <v>0</v>
      </c>
      <c r="EQO16" s="238">
        <f t="shared" ref="EQO16" si="1914">EQO11*0.0425</f>
        <v>0</v>
      </c>
      <c r="EQQ16" s="238">
        <f t="shared" ref="EQQ16" si="1915">EQQ11*0.0425</f>
        <v>0</v>
      </c>
      <c r="EQS16" s="238">
        <f t="shared" ref="EQS16" si="1916">EQS11*0.0425</f>
        <v>0</v>
      </c>
      <c r="EQU16" s="238">
        <f t="shared" ref="EQU16" si="1917">EQU11*0.0425</f>
        <v>0</v>
      </c>
      <c r="EQW16" s="238">
        <f t="shared" ref="EQW16" si="1918">EQW11*0.0425</f>
        <v>0</v>
      </c>
      <c r="EQY16" s="238">
        <f t="shared" ref="EQY16" si="1919">EQY11*0.0425</f>
        <v>0</v>
      </c>
      <c r="ERA16" s="238">
        <f t="shared" ref="ERA16" si="1920">ERA11*0.0425</f>
        <v>0</v>
      </c>
      <c r="ERC16" s="238">
        <f t="shared" ref="ERC16" si="1921">ERC11*0.0425</f>
        <v>0</v>
      </c>
      <c r="ERE16" s="238">
        <f t="shared" ref="ERE16" si="1922">ERE11*0.0425</f>
        <v>0</v>
      </c>
      <c r="ERG16" s="238">
        <f t="shared" ref="ERG16" si="1923">ERG11*0.0425</f>
        <v>0</v>
      </c>
      <c r="ERI16" s="238">
        <f t="shared" ref="ERI16" si="1924">ERI11*0.0425</f>
        <v>0</v>
      </c>
      <c r="ERK16" s="238">
        <f t="shared" ref="ERK16" si="1925">ERK11*0.0425</f>
        <v>0</v>
      </c>
      <c r="ERM16" s="238">
        <f t="shared" ref="ERM16" si="1926">ERM11*0.0425</f>
        <v>0</v>
      </c>
      <c r="ERO16" s="238">
        <f t="shared" ref="ERO16" si="1927">ERO11*0.0425</f>
        <v>0</v>
      </c>
      <c r="ERQ16" s="238">
        <f t="shared" ref="ERQ16" si="1928">ERQ11*0.0425</f>
        <v>0</v>
      </c>
      <c r="ERS16" s="238">
        <f t="shared" ref="ERS16" si="1929">ERS11*0.0425</f>
        <v>0</v>
      </c>
      <c r="ERU16" s="238">
        <f t="shared" ref="ERU16" si="1930">ERU11*0.0425</f>
        <v>0</v>
      </c>
      <c r="ERW16" s="238">
        <f t="shared" ref="ERW16" si="1931">ERW11*0.0425</f>
        <v>0</v>
      </c>
      <c r="ERY16" s="238">
        <f t="shared" ref="ERY16" si="1932">ERY11*0.0425</f>
        <v>0</v>
      </c>
      <c r="ESA16" s="238">
        <f t="shared" ref="ESA16" si="1933">ESA11*0.0425</f>
        <v>0</v>
      </c>
      <c r="ESC16" s="238">
        <f t="shared" ref="ESC16" si="1934">ESC11*0.0425</f>
        <v>0</v>
      </c>
      <c r="ESE16" s="238">
        <f t="shared" ref="ESE16" si="1935">ESE11*0.0425</f>
        <v>0</v>
      </c>
      <c r="ESG16" s="238">
        <f t="shared" ref="ESG16" si="1936">ESG11*0.0425</f>
        <v>0</v>
      </c>
      <c r="ESI16" s="238">
        <f t="shared" ref="ESI16" si="1937">ESI11*0.0425</f>
        <v>0</v>
      </c>
      <c r="ESK16" s="238">
        <f t="shared" ref="ESK16" si="1938">ESK11*0.0425</f>
        <v>0</v>
      </c>
      <c r="ESM16" s="238">
        <f t="shared" ref="ESM16" si="1939">ESM11*0.0425</f>
        <v>0</v>
      </c>
      <c r="ESO16" s="238">
        <f t="shared" ref="ESO16" si="1940">ESO11*0.0425</f>
        <v>0</v>
      </c>
      <c r="ESQ16" s="238">
        <f t="shared" ref="ESQ16" si="1941">ESQ11*0.0425</f>
        <v>0</v>
      </c>
      <c r="ESS16" s="238">
        <f t="shared" ref="ESS16" si="1942">ESS11*0.0425</f>
        <v>0</v>
      </c>
      <c r="ESU16" s="238">
        <f t="shared" ref="ESU16" si="1943">ESU11*0.0425</f>
        <v>0</v>
      </c>
      <c r="ESW16" s="238">
        <f t="shared" ref="ESW16" si="1944">ESW11*0.0425</f>
        <v>0</v>
      </c>
      <c r="ESY16" s="238">
        <f t="shared" ref="ESY16" si="1945">ESY11*0.0425</f>
        <v>0</v>
      </c>
      <c r="ETA16" s="238">
        <f t="shared" ref="ETA16" si="1946">ETA11*0.0425</f>
        <v>0</v>
      </c>
      <c r="ETC16" s="238">
        <f t="shared" ref="ETC16" si="1947">ETC11*0.0425</f>
        <v>0</v>
      </c>
      <c r="ETE16" s="238">
        <f t="shared" ref="ETE16" si="1948">ETE11*0.0425</f>
        <v>0</v>
      </c>
      <c r="ETG16" s="238">
        <f t="shared" ref="ETG16" si="1949">ETG11*0.0425</f>
        <v>0</v>
      </c>
      <c r="ETI16" s="238">
        <f t="shared" ref="ETI16" si="1950">ETI11*0.0425</f>
        <v>0</v>
      </c>
      <c r="ETK16" s="238">
        <f t="shared" ref="ETK16" si="1951">ETK11*0.0425</f>
        <v>0</v>
      </c>
      <c r="ETM16" s="238">
        <f t="shared" ref="ETM16" si="1952">ETM11*0.0425</f>
        <v>0</v>
      </c>
      <c r="ETO16" s="238">
        <f t="shared" ref="ETO16" si="1953">ETO11*0.0425</f>
        <v>0</v>
      </c>
      <c r="ETQ16" s="238">
        <f t="shared" ref="ETQ16" si="1954">ETQ11*0.0425</f>
        <v>0</v>
      </c>
      <c r="ETS16" s="238">
        <f t="shared" ref="ETS16" si="1955">ETS11*0.0425</f>
        <v>0</v>
      </c>
      <c r="ETU16" s="238">
        <f t="shared" ref="ETU16" si="1956">ETU11*0.0425</f>
        <v>0</v>
      </c>
      <c r="ETW16" s="238">
        <f t="shared" ref="ETW16" si="1957">ETW11*0.0425</f>
        <v>0</v>
      </c>
      <c r="ETY16" s="238">
        <f t="shared" ref="ETY16" si="1958">ETY11*0.0425</f>
        <v>0</v>
      </c>
      <c r="EUA16" s="238">
        <f t="shared" ref="EUA16" si="1959">EUA11*0.0425</f>
        <v>0</v>
      </c>
      <c r="EUC16" s="238">
        <f t="shared" ref="EUC16" si="1960">EUC11*0.0425</f>
        <v>0</v>
      </c>
      <c r="EUE16" s="238">
        <f t="shared" ref="EUE16" si="1961">EUE11*0.0425</f>
        <v>0</v>
      </c>
      <c r="EUG16" s="238">
        <f t="shared" ref="EUG16" si="1962">EUG11*0.0425</f>
        <v>0</v>
      </c>
      <c r="EUI16" s="238">
        <f t="shared" ref="EUI16" si="1963">EUI11*0.0425</f>
        <v>0</v>
      </c>
      <c r="EUK16" s="238">
        <f t="shared" ref="EUK16" si="1964">EUK11*0.0425</f>
        <v>0</v>
      </c>
      <c r="EUM16" s="238">
        <f t="shared" ref="EUM16" si="1965">EUM11*0.0425</f>
        <v>0</v>
      </c>
      <c r="EUO16" s="238">
        <f t="shared" ref="EUO16" si="1966">EUO11*0.0425</f>
        <v>0</v>
      </c>
      <c r="EUQ16" s="238">
        <f t="shared" ref="EUQ16" si="1967">EUQ11*0.0425</f>
        <v>0</v>
      </c>
      <c r="EUS16" s="238">
        <f t="shared" ref="EUS16" si="1968">EUS11*0.0425</f>
        <v>0</v>
      </c>
      <c r="EUU16" s="238">
        <f t="shared" ref="EUU16" si="1969">EUU11*0.0425</f>
        <v>0</v>
      </c>
      <c r="EUW16" s="238">
        <f t="shared" ref="EUW16" si="1970">EUW11*0.0425</f>
        <v>0</v>
      </c>
      <c r="EUY16" s="238">
        <f t="shared" ref="EUY16" si="1971">EUY11*0.0425</f>
        <v>0</v>
      </c>
      <c r="EVA16" s="238">
        <f t="shared" ref="EVA16" si="1972">EVA11*0.0425</f>
        <v>0</v>
      </c>
      <c r="EVC16" s="238">
        <f t="shared" ref="EVC16" si="1973">EVC11*0.0425</f>
        <v>0</v>
      </c>
      <c r="EVE16" s="238">
        <f t="shared" ref="EVE16" si="1974">EVE11*0.0425</f>
        <v>0</v>
      </c>
      <c r="EVG16" s="238">
        <f t="shared" ref="EVG16" si="1975">EVG11*0.0425</f>
        <v>0</v>
      </c>
      <c r="EVI16" s="238">
        <f t="shared" ref="EVI16" si="1976">EVI11*0.0425</f>
        <v>0</v>
      </c>
      <c r="EVK16" s="238">
        <f t="shared" ref="EVK16" si="1977">EVK11*0.0425</f>
        <v>0</v>
      </c>
      <c r="EVM16" s="238">
        <f t="shared" ref="EVM16" si="1978">EVM11*0.0425</f>
        <v>0</v>
      </c>
      <c r="EVO16" s="238">
        <f t="shared" ref="EVO16" si="1979">EVO11*0.0425</f>
        <v>0</v>
      </c>
      <c r="EVQ16" s="238">
        <f t="shared" ref="EVQ16" si="1980">EVQ11*0.0425</f>
        <v>0</v>
      </c>
      <c r="EVS16" s="238">
        <f t="shared" ref="EVS16" si="1981">EVS11*0.0425</f>
        <v>0</v>
      </c>
      <c r="EVU16" s="238">
        <f t="shared" ref="EVU16" si="1982">EVU11*0.0425</f>
        <v>0</v>
      </c>
      <c r="EVW16" s="238">
        <f t="shared" ref="EVW16" si="1983">EVW11*0.0425</f>
        <v>0</v>
      </c>
      <c r="EVY16" s="238">
        <f t="shared" ref="EVY16" si="1984">EVY11*0.0425</f>
        <v>0</v>
      </c>
      <c r="EWA16" s="238">
        <f t="shared" ref="EWA16" si="1985">EWA11*0.0425</f>
        <v>0</v>
      </c>
      <c r="EWC16" s="238">
        <f t="shared" ref="EWC16" si="1986">EWC11*0.0425</f>
        <v>0</v>
      </c>
      <c r="EWE16" s="238">
        <f t="shared" ref="EWE16" si="1987">EWE11*0.0425</f>
        <v>0</v>
      </c>
      <c r="EWG16" s="238">
        <f t="shared" ref="EWG16" si="1988">EWG11*0.0425</f>
        <v>0</v>
      </c>
      <c r="EWI16" s="238">
        <f t="shared" ref="EWI16" si="1989">EWI11*0.0425</f>
        <v>0</v>
      </c>
      <c r="EWK16" s="238">
        <f t="shared" ref="EWK16" si="1990">EWK11*0.0425</f>
        <v>0</v>
      </c>
      <c r="EWM16" s="238">
        <f t="shared" ref="EWM16" si="1991">EWM11*0.0425</f>
        <v>0</v>
      </c>
      <c r="EWO16" s="238">
        <f t="shared" ref="EWO16" si="1992">EWO11*0.0425</f>
        <v>0</v>
      </c>
      <c r="EWQ16" s="238">
        <f t="shared" ref="EWQ16" si="1993">EWQ11*0.0425</f>
        <v>0</v>
      </c>
      <c r="EWS16" s="238">
        <f t="shared" ref="EWS16" si="1994">EWS11*0.0425</f>
        <v>0</v>
      </c>
      <c r="EWU16" s="238">
        <f t="shared" ref="EWU16" si="1995">EWU11*0.0425</f>
        <v>0</v>
      </c>
      <c r="EWW16" s="238">
        <f t="shared" ref="EWW16" si="1996">EWW11*0.0425</f>
        <v>0</v>
      </c>
      <c r="EWY16" s="238">
        <f t="shared" ref="EWY16" si="1997">EWY11*0.0425</f>
        <v>0</v>
      </c>
      <c r="EXA16" s="238">
        <f t="shared" ref="EXA16" si="1998">EXA11*0.0425</f>
        <v>0</v>
      </c>
      <c r="EXC16" s="238">
        <f t="shared" ref="EXC16" si="1999">EXC11*0.0425</f>
        <v>0</v>
      </c>
      <c r="EXE16" s="238">
        <f t="shared" ref="EXE16" si="2000">EXE11*0.0425</f>
        <v>0</v>
      </c>
      <c r="EXG16" s="238">
        <f t="shared" ref="EXG16" si="2001">EXG11*0.0425</f>
        <v>0</v>
      </c>
      <c r="EXI16" s="238">
        <f t="shared" ref="EXI16" si="2002">EXI11*0.0425</f>
        <v>0</v>
      </c>
      <c r="EXK16" s="238">
        <f t="shared" ref="EXK16" si="2003">EXK11*0.0425</f>
        <v>0</v>
      </c>
      <c r="EXM16" s="238">
        <f t="shared" ref="EXM16" si="2004">EXM11*0.0425</f>
        <v>0</v>
      </c>
      <c r="EXO16" s="238">
        <f t="shared" ref="EXO16" si="2005">EXO11*0.0425</f>
        <v>0</v>
      </c>
      <c r="EXQ16" s="238">
        <f t="shared" ref="EXQ16" si="2006">EXQ11*0.0425</f>
        <v>0</v>
      </c>
      <c r="EXS16" s="238">
        <f t="shared" ref="EXS16" si="2007">EXS11*0.0425</f>
        <v>0</v>
      </c>
      <c r="EXU16" s="238">
        <f t="shared" ref="EXU16" si="2008">EXU11*0.0425</f>
        <v>0</v>
      </c>
      <c r="EXW16" s="238">
        <f t="shared" ref="EXW16" si="2009">EXW11*0.0425</f>
        <v>0</v>
      </c>
      <c r="EXY16" s="238">
        <f t="shared" ref="EXY16" si="2010">EXY11*0.0425</f>
        <v>0</v>
      </c>
      <c r="EYA16" s="238">
        <f t="shared" ref="EYA16" si="2011">EYA11*0.0425</f>
        <v>0</v>
      </c>
      <c r="EYC16" s="238">
        <f t="shared" ref="EYC16" si="2012">EYC11*0.0425</f>
        <v>0</v>
      </c>
      <c r="EYE16" s="238">
        <f t="shared" ref="EYE16" si="2013">EYE11*0.0425</f>
        <v>0</v>
      </c>
      <c r="EYG16" s="238">
        <f t="shared" ref="EYG16" si="2014">EYG11*0.0425</f>
        <v>0</v>
      </c>
      <c r="EYI16" s="238">
        <f t="shared" ref="EYI16" si="2015">EYI11*0.0425</f>
        <v>0</v>
      </c>
      <c r="EYK16" s="238">
        <f t="shared" ref="EYK16" si="2016">EYK11*0.0425</f>
        <v>0</v>
      </c>
      <c r="EYM16" s="238">
        <f t="shared" ref="EYM16" si="2017">EYM11*0.0425</f>
        <v>0</v>
      </c>
      <c r="EYO16" s="238">
        <f t="shared" ref="EYO16" si="2018">EYO11*0.0425</f>
        <v>0</v>
      </c>
      <c r="EYQ16" s="238">
        <f t="shared" ref="EYQ16" si="2019">EYQ11*0.0425</f>
        <v>0</v>
      </c>
      <c r="EYS16" s="238">
        <f t="shared" ref="EYS16" si="2020">EYS11*0.0425</f>
        <v>0</v>
      </c>
      <c r="EYU16" s="238">
        <f t="shared" ref="EYU16" si="2021">EYU11*0.0425</f>
        <v>0</v>
      </c>
      <c r="EYW16" s="238">
        <f t="shared" ref="EYW16" si="2022">EYW11*0.0425</f>
        <v>0</v>
      </c>
      <c r="EYY16" s="238">
        <f t="shared" ref="EYY16" si="2023">EYY11*0.0425</f>
        <v>0</v>
      </c>
      <c r="EZA16" s="238">
        <f t="shared" ref="EZA16" si="2024">EZA11*0.0425</f>
        <v>0</v>
      </c>
      <c r="EZC16" s="238">
        <f t="shared" ref="EZC16" si="2025">EZC11*0.0425</f>
        <v>0</v>
      </c>
      <c r="EZE16" s="238">
        <f t="shared" ref="EZE16" si="2026">EZE11*0.0425</f>
        <v>0</v>
      </c>
      <c r="EZG16" s="238">
        <f t="shared" ref="EZG16" si="2027">EZG11*0.0425</f>
        <v>0</v>
      </c>
      <c r="EZI16" s="238">
        <f t="shared" ref="EZI16" si="2028">EZI11*0.0425</f>
        <v>0</v>
      </c>
      <c r="EZK16" s="238">
        <f t="shared" ref="EZK16" si="2029">EZK11*0.0425</f>
        <v>0</v>
      </c>
      <c r="EZM16" s="238">
        <f t="shared" ref="EZM16" si="2030">EZM11*0.0425</f>
        <v>0</v>
      </c>
      <c r="EZO16" s="238">
        <f t="shared" ref="EZO16" si="2031">EZO11*0.0425</f>
        <v>0</v>
      </c>
      <c r="EZQ16" s="238">
        <f t="shared" ref="EZQ16" si="2032">EZQ11*0.0425</f>
        <v>0</v>
      </c>
      <c r="EZS16" s="238">
        <f t="shared" ref="EZS16" si="2033">EZS11*0.0425</f>
        <v>0</v>
      </c>
      <c r="EZU16" s="238">
        <f t="shared" ref="EZU16" si="2034">EZU11*0.0425</f>
        <v>0</v>
      </c>
      <c r="EZW16" s="238">
        <f t="shared" ref="EZW16" si="2035">EZW11*0.0425</f>
        <v>0</v>
      </c>
      <c r="EZY16" s="238">
        <f t="shared" ref="EZY16" si="2036">EZY11*0.0425</f>
        <v>0</v>
      </c>
      <c r="FAA16" s="238">
        <f t="shared" ref="FAA16" si="2037">FAA11*0.0425</f>
        <v>0</v>
      </c>
      <c r="FAC16" s="238">
        <f t="shared" ref="FAC16" si="2038">FAC11*0.0425</f>
        <v>0</v>
      </c>
      <c r="FAE16" s="238">
        <f t="shared" ref="FAE16" si="2039">FAE11*0.0425</f>
        <v>0</v>
      </c>
      <c r="FAG16" s="238">
        <f t="shared" ref="FAG16" si="2040">FAG11*0.0425</f>
        <v>0</v>
      </c>
      <c r="FAI16" s="238">
        <f t="shared" ref="FAI16" si="2041">FAI11*0.0425</f>
        <v>0</v>
      </c>
      <c r="FAK16" s="238">
        <f t="shared" ref="FAK16" si="2042">FAK11*0.0425</f>
        <v>0</v>
      </c>
      <c r="FAM16" s="238">
        <f t="shared" ref="FAM16" si="2043">FAM11*0.0425</f>
        <v>0</v>
      </c>
      <c r="FAO16" s="238">
        <f t="shared" ref="FAO16" si="2044">FAO11*0.0425</f>
        <v>0</v>
      </c>
      <c r="FAQ16" s="238">
        <f t="shared" ref="FAQ16" si="2045">FAQ11*0.0425</f>
        <v>0</v>
      </c>
      <c r="FAS16" s="238">
        <f t="shared" ref="FAS16" si="2046">FAS11*0.0425</f>
        <v>0</v>
      </c>
      <c r="FAU16" s="238">
        <f t="shared" ref="FAU16" si="2047">FAU11*0.0425</f>
        <v>0</v>
      </c>
      <c r="FAW16" s="238">
        <f t="shared" ref="FAW16" si="2048">FAW11*0.0425</f>
        <v>0</v>
      </c>
      <c r="FAY16" s="238">
        <f t="shared" ref="FAY16" si="2049">FAY11*0.0425</f>
        <v>0</v>
      </c>
      <c r="FBA16" s="238">
        <f t="shared" ref="FBA16" si="2050">FBA11*0.0425</f>
        <v>0</v>
      </c>
      <c r="FBC16" s="238">
        <f t="shared" ref="FBC16" si="2051">FBC11*0.0425</f>
        <v>0</v>
      </c>
      <c r="FBE16" s="238">
        <f t="shared" ref="FBE16" si="2052">FBE11*0.0425</f>
        <v>0</v>
      </c>
      <c r="FBG16" s="238">
        <f t="shared" ref="FBG16" si="2053">FBG11*0.0425</f>
        <v>0</v>
      </c>
      <c r="FBI16" s="238">
        <f t="shared" ref="FBI16" si="2054">FBI11*0.0425</f>
        <v>0</v>
      </c>
      <c r="FBK16" s="238">
        <f t="shared" ref="FBK16" si="2055">FBK11*0.0425</f>
        <v>0</v>
      </c>
      <c r="FBM16" s="238">
        <f t="shared" ref="FBM16" si="2056">FBM11*0.0425</f>
        <v>0</v>
      </c>
      <c r="FBO16" s="238">
        <f t="shared" ref="FBO16" si="2057">FBO11*0.0425</f>
        <v>0</v>
      </c>
      <c r="FBQ16" s="238">
        <f t="shared" ref="FBQ16" si="2058">FBQ11*0.0425</f>
        <v>0</v>
      </c>
      <c r="FBS16" s="238">
        <f t="shared" ref="FBS16" si="2059">FBS11*0.0425</f>
        <v>0</v>
      </c>
      <c r="FBU16" s="238">
        <f t="shared" ref="FBU16" si="2060">FBU11*0.0425</f>
        <v>0</v>
      </c>
      <c r="FBW16" s="238">
        <f t="shared" ref="FBW16" si="2061">FBW11*0.0425</f>
        <v>0</v>
      </c>
      <c r="FBY16" s="238">
        <f t="shared" ref="FBY16" si="2062">FBY11*0.0425</f>
        <v>0</v>
      </c>
      <c r="FCA16" s="238">
        <f t="shared" ref="FCA16" si="2063">FCA11*0.0425</f>
        <v>0</v>
      </c>
      <c r="FCC16" s="238">
        <f t="shared" ref="FCC16" si="2064">FCC11*0.0425</f>
        <v>0</v>
      </c>
      <c r="FCE16" s="238">
        <f t="shared" ref="FCE16" si="2065">FCE11*0.0425</f>
        <v>0</v>
      </c>
      <c r="FCG16" s="238">
        <f t="shared" ref="FCG16" si="2066">FCG11*0.0425</f>
        <v>0</v>
      </c>
      <c r="FCI16" s="238">
        <f t="shared" ref="FCI16" si="2067">FCI11*0.0425</f>
        <v>0</v>
      </c>
      <c r="FCK16" s="238">
        <f t="shared" ref="FCK16" si="2068">FCK11*0.0425</f>
        <v>0</v>
      </c>
      <c r="FCM16" s="238">
        <f t="shared" ref="FCM16" si="2069">FCM11*0.0425</f>
        <v>0</v>
      </c>
      <c r="FCO16" s="238">
        <f t="shared" ref="FCO16" si="2070">FCO11*0.0425</f>
        <v>0</v>
      </c>
      <c r="FCQ16" s="238">
        <f t="shared" ref="FCQ16" si="2071">FCQ11*0.0425</f>
        <v>0</v>
      </c>
      <c r="FCS16" s="238">
        <f t="shared" ref="FCS16" si="2072">FCS11*0.0425</f>
        <v>0</v>
      </c>
      <c r="FCU16" s="238">
        <f t="shared" ref="FCU16" si="2073">FCU11*0.0425</f>
        <v>0</v>
      </c>
      <c r="FCW16" s="238">
        <f t="shared" ref="FCW16" si="2074">FCW11*0.0425</f>
        <v>0</v>
      </c>
      <c r="FCY16" s="238">
        <f t="shared" ref="FCY16" si="2075">FCY11*0.0425</f>
        <v>0</v>
      </c>
      <c r="FDA16" s="238">
        <f t="shared" ref="FDA16" si="2076">FDA11*0.0425</f>
        <v>0</v>
      </c>
      <c r="FDC16" s="238">
        <f t="shared" ref="FDC16" si="2077">FDC11*0.0425</f>
        <v>0</v>
      </c>
      <c r="FDE16" s="238">
        <f t="shared" ref="FDE16" si="2078">FDE11*0.0425</f>
        <v>0</v>
      </c>
      <c r="FDG16" s="238">
        <f t="shared" ref="FDG16" si="2079">FDG11*0.0425</f>
        <v>0</v>
      </c>
      <c r="FDI16" s="238">
        <f t="shared" ref="FDI16" si="2080">FDI11*0.0425</f>
        <v>0</v>
      </c>
      <c r="FDK16" s="238">
        <f t="shared" ref="FDK16" si="2081">FDK11*0.0425</f>
        <v>0</v>
      </c>
      <c r="FDM16" s="238">
        <f t="shared" ref="FDM16" si="2082">FDM11*0.0425</f>
        <v>0</v>
      </c>
      <c r="FDO16" s="238">
        <f t="shared" ref="FDO16" si="2083">FDO11*0.0425</f>
        <v>0</v>
      </c>
      <c r="FDQ16" s="238">
        <f t="shared" ref="FDQ16" si="2084">FDQ11*0.0425</f>
        <v>0</v>
      </c>
      <c r="FDS16" s="238">
        <f t="shared" ref="FDS16" si="2085">FDS11*0.0425</f>
        <v>0</v>
      </c>
      <c r="FDU16" s="238">
        <f t="shared" ref="FDU16" si="2086">FDU11*0.0425</f>
        <v>0</v>
      </c>
      <c r="FDW16" s="238">
        <f t="shared" ref="FDW16" si="2087">FDW11*0.0425</f>
        <v>0</v>
      </c>
      <c r="FDY16" s="238">
        <f t="shared" ref="FDY16" si="2088">FDY11*0.0425</f>
        <v>0</v>
      </c>
      <c r="FEA16" s="238">
        <f t="shared" ref="FEA16" si="2089">FEA11*0.0425</f>
        <v>0</v>
      </c>
      <c r="FEC16" s="238">
        <f t="shared" ref="FEC16" si="2090">FEC11*0.0425</f>
        <v>0</v>
      </c>
      <c r="FEE16" s="238">
        <f t="shared" ref="FEE16" si="2091">FEE11*0.0425</f>
        <v>0</v>
      </c>
      <c r="FEG16" s="238">
        <f t="shared" ref="FEG16" si="2092">FEG11*0.0425</f>
        <v>0</v>
      </c>
      <c r="FEI16" s="238">
        <f t="shared" ref="FEI16" si="2093">FEI11*0.0425</f>
        <v>0</v>
      </c>
      <c r="FEK16" s="238">
        <f t="shared" ref="FEK16" si="2094">FEK11*0.0425</f>
        <v>0</v>
      </c>
      <c r="FEM16" s="238">
        <f t="shared" ref="FEM16" si="2095">FEM11*0.0425</f>
        <v>0</v>
      </c>
      <c r="FEO16" s="238">
        <f t="shared" ref="FEO16" si="2096">FEO11*0.0425</f>
        <v>0</v>
      </c>
      <c r="FEQ16" s="238">
        <f t="shared" ref="FEQ16" si="2097">FEQ11*0.0425</f>
        <v>0</v>
      </c>
      <c r="FES16" s="238">
        <f t="shared" ref="FES16" si="2098">FES11*0.0425</f>
        <v>0</v>
      </c>
      <c r="FEU16" s="238">
        <f t="shared" ref="FEU16" si="2099">FEU11*0.0425</f>
        <v>0</v>
      </c>
      <c r="FEW16" s="238">
        <f t="shared" ref="FEW16" si="2100">FEW11*0.0425</f>
        <v>0</v>
      </c>
      <c r="FEY16" s="238">
        <f t="shared" ref="FEY16" si="2101">FEY11*0.0425</f>
        <v>0</v>
      </c>
      <c r="FFA16" s="238">
        <f t="shared" ref="FFA16" si="2102">FFA11*0.0425</f>
        <v>0</v>
      </c>
      <c r="FFC16" s="238">
        <f t="shared" ref="FFC16" si="2103">FFC11*0.0425</f>
        <v>0</v>
      </c>
      <c r="FFE16" s="238">
        <f t="shared" ref="FFE16" si="2104">FFE11*0.0425</f>
        <v>0</v>
      </c>
      <c r="FFG16" s="238">
        <f t="shared" ref="FFG16" si="2105">FFG11*0.0425</f>
        <v>0</v>
      </c>
      <c r="FFI16" s="238">
        <f t="shared" ref="FFI16" si="2106">FFI11*0.0425</f>
        <v>0</v>
      </c>
      <c r="FFK16" s="238">
        <f t="shared" ref="FFK16" si="2107">FFK11*0.0425</f>
        <v>0</v>
      </c>
      <c r="FFM16" s="238">
        <f t="shared" ref="FFM16" si="2108">FFM11*0.0425</f>
        <v>0</v>
      </c>
      <c r="FFO16" s="238">
        <f t="shared" ref="FFO16" si="2109">FFO11*0.0425</f>
        <v>0</v>
      </c>
      <c r="FFQ16" s="238">
        <f t="shared" ref="FFQ16" si="2110">FFQ11*0.0425</f>
        <v>0</v>
      </c>
      <c r="FFS16" s="238">
        <f t="shared" ref="FFS16" si="2111">FFS11*0.0425</f>
        <v>0</v>
      </c>
      <c r="FFU16" s="238">
        <f t="shared" ref="FFU16" si="2112">FFU11*0.0425</f>
        <v>0</v>
      </c>
      <c r="FFW16" s="238">
        <f t="shared" ref="FFW16" si="2113">FFW11*0.0425</f>
        <v>0</v>
      </c>
      <c r="FFY16" s="238">
        <f t="shared" ref="FFY16" si="2114">FFY11*0.0425</f>
        <v>0</v>
      </c>
      <c r="FGA16" s="238">
        <f t="shared" ref="FGA16" si="2115">FGA11*0.0425</f>
        <v>0</v>
      </c>
      <c r="FGC16" s="238">
        <f t="shared" ref="FGC16" si="2116">FGC11*0.0425</f>
        <v>0</v>
      </c>
      <c r="FGE16" s="238">
        <f t="shared" ref="FGE16" si="2117">FGE11*0.0425</f>
        <v>0</v>
      </c>
      <c r="FGG16" s="238">
        <f t="shared" ref="FGG16" si="2118">FGG11*0.0425</f>
        <v>0</v>
      </c>
      <c r="FGI16" s="238">
        <f t="shared" ref="FGI16" si="2119">FGI11*0.0425</f>
        <v>0</v>
      </c>
      <c r="FGK16" s="238">
        <f t="shared" ref="FGK16" si="2120">FGK11*0.0425</f>
        <v>0</v>
      </c>
      <c r="FGM16" s="238">
        <f t="shared" ref="FGM16" si="2121">FGM11*0.0425</f>
        <v>0</v>
      </c>
      <c r="FGO16" s="238">
        <f t="shared" ref="FGO16" si="2122">FGO11*0.0425</f>
        <v>0</v>
      </c>
      <c r="FGQ16" s="238">
        <f t="shared" ref="FGQ16" si="2123">FGQ11*0.0425</f>
        <v>0</v>
      </c>
      <c r="FGS16" s="238">
        <f t="shared" ref="FGS16" si="2124">FGS11*0.0425</f>
        <v>0</v>
      </c>
      <c r="FGU16" s="238">
        <f t="shared" ref="FGU16" si="2125">FGU11*0.0425</f>
        <v>0</v>
      </c>
      <c r="FGW16" s="238">
        <f t="shared" ref="FGW16" si="2126">FGW11*0.0425</f>
        <v>0</v>
      </c>
      <c r="FGY16" s="238">
        <f t="shared" ref="FGY16" si="2127">FGY11*0.0425</f>
        <v>0</v>
      </c>
      <c r="FHA16" s="238">
        <f t="shared" ref="FHA16" si="2128">FHA11*0.0425</f>
        <v>0</v>
      </c>
      <c r="FHC16" s="238">
        <f t="shared" ref="FHC16" si="2129">FHC11*0.0425</f>
        <v>0</v>
      </c>
      <c r="FHE16" s="238">
        <f t="shared" ref="FHE16" si="2130">FHE11*0.0425</f>
        <v>0</v>
      </c>
      <c r="FHG16" s="238">
        <f t="shared" ref="FHG16" si="2131">FHG11*0.0425</f>
        <v>0</v>
      </c>
      <c r="FHI16" s="238">
        <f t="shared" ref="FHI16" si="2132">FHI11*0.0425</f>
        <v>0</v>
      </c>
      <c r="FHK16" s="238">
        <f t="shared" ref="FHK16" si="2133">FHK11*0.0425</f>
        <v>0</v>
      </c>
      <c r="FHM16" s="238">
        <f t="shared" ref="FHM16" si="2134">FHM11*0.0425</f>
        <v>0</v>
      </c>
      <c r="FHO16" s="238">
        <f t="shared" ref="FHO16" si="2135">FHO11*0.0425</f>
        <v>0</v>
      </c>
      <c r="FHQ16" s="238">
        <f t="shared" ref="FHQ16" si="2136">FHQ11*0.0425</f>
        <v>0</v>
      </c>
      <c r="FHS16" s="238">
        <f t="shared" ref="FHS16" si="2137">FHS11*0.0425</f>
        <v>0</v>
      </c>
      <c r="FHU16" s="238">
        <f t="shared" ref="FHU16" si="2138">FHU11*0.0425</f>
        <v>0</v>
      </c>
      <c r="FHW16" s="238">
        <f t="shared" ref="FHW16" si="2139">FHW11*0.0425</f>
        <v>0</v>
      </c>
      <c r="FHY16" s="238">
        <f t="shared" ref="FHY16" si="2140">FHY11*0.0425</f>
        <v>0</v>
      </c>
      <c r="FIA16" s="238">
        <f t="shared" ref="FIA16" si="2141">FIA11*0.0425</f>
        <v>0</v>
      </c>
      <c r="FIC16" s="238">
        <f t="shared" ref="FIC16" si="2142">FIC11*0.0425</f>
        <v>0</v>
      </c>
      <c r="FIE16" s="238">
        <f t="shared" ref="FIE16" si="2143">FIE11*0.0425</f>
        <v>0</v>
      </c>
      <c r="FIG16" s="238">
        <f t="shared" ref="FIG16" si="2144">FIG11*0.0425</f>
        <v>0</v>
      </c>
      <c r="FII16" s="238">
        <f t="shared" ref="FII16" si="2145">FII11*0.0425</f>
        <v>0</v>
      </c>
      <c r="FIK16" s="238">
        <f t="shared" ref="FIK16" si="2146">FIK11*0.0425</f>
        <v>0</v>
      </c>
      <c r="FIM16" s="238">
        <f t="shared" ref="FIM16" si="2147">FIM11*0.0425</f>
        <v>0</v>
      </c>
      <c r="FIO16" s="238">
        <f t="shared" ref="FIO16" si="2148">FIO11*0.0425</f>
        <v>0</v>
      </c>
      <c r="FIQ16" s="238">
        <f t="shared" ref="FIQ16" si="2149">FIQ11*0.0425</f>
        <v>0</v>
      </c>
      <c r="FIS16" s="238">
        <f t="shared" ref="FIS16" si="2150">FIS11*0.0425</f>
        <v>0</v>
      </c>
      <c r="FIU16" s="238">
        <f t="shared" ref="FIU16" si="2151">FIU11*0.0425</f>
        <v>0</v>
      </c>
      <c r="FIW16" s="238">
        <f t="shared" ref="FIW16" si="2152">FIW11*0.0425</f>
        <v>0</v>
      </c>
      <c r="FIY16" s="238">
        <f t="shared" ref="FIY16" si="2153">FIY11*0.0425</f>
        <v>0</v>
      </c>
      <c r="FJA16" s="238">
        <f t="shared" ref="FJA16" si="2154">FJA11*0.0425</f>
        <v>0</v>
      </c>
      <c r="FJC16" s="238">
        <f t="shared" ref="FJC16" si="2155">FJC11*0.0425</f>
        <v>0</v>
      </c>
      <c r="FJE16" s="238">
        <f t="shared" ref="FJE16" si="2156">FJE11*0.0425</f>
        <v>0</v>
      </c>
      <c r="FJG16" s="238">
        <f t="shared" ref="FJG16" si="2157">FJG11*0.0425</f>
        <v>0</v>
      </c>
      <c r="FJI16" s="238">
        <f t="shared" ref="FJI16" si="2158">FJI11*0.0425</f>
        <v>0</v>
      </c>
      <c r="FJK16" s="238">
        <f t="shared" ref="FJK16" si="2159">FJK11*0.0425</f>
        <v>0</v>
      </c>
      <c r="FJM16" s="238">
        <f t="shared" ref="FJM16" si="2160">FJM11*0.0425</f>
        <v>0</v>
      </c>
      <c r="FJO16" s="238">
        <f t="shared" ref="FJO16" si="2161">FJO11*0.0425</f>
        <v>0</v>
      </c>
      <c r="FJQ16" s="238">
        <f t="shared" ref="FJQ16" si="2162">FJQ11*0.0425</f>
        <v>0</v>
      </c>
      <c r="FJS16" s="238">
        <f t="shared" ref="FJS16" si="2163">FJS11*0.0425</f>
        <v>0</v>
      </c>
      <c r="FJU16" s="238">
        <f t="shared" ref="FJU16" si="2164">FJU11*0.0425</f>
        <v>0</v>
      </c>
      <c r="FJW16" s="238">
        <f t="shared" ref="FJW16" si="2165">FJW11*0.0425</f>
        <v>0</v>
      </c>
      <c r="FJY16" s="238">
        <f t="shared" ref="FJY16" si="2166">FJY11*0.0425</f>
        <v>0</v>
      </c>
      <c r="FKA16" s="238">
        <f t="shared" ref="FKA16" si="2167">FKA11*0.0425</f>
        <v>0</v>
      </c>
      <c r="FKC16" s="238">
        <f t="shared" ref="FKC16" si="2168">FKC11*0.0425</f>
        <v>0</v>
      </c>
      <c r="FKE16" s="238">
        <f t="shared" ref="FKE16" si="2169">FKE11*0.0425</f>
        <v>0</v>
      </c>
      <c r="FKG16" s="238">
        <f t="shared" ref="FKG16" si="2170">FKG11*0.0425</f>
        <v>0</v>
      </c>
      <c r="FKI16" s="238">
        <f t="shared" ref="FKI16" si="2171">FKI11*0.0425</f>
        <v>0</v>
      </c>
      <c r="FKK16" s="238">
        <f t="shared" ref="FKK16" si="2172">FKK11*0.0425</f>
        <v>0</v>
      </c>
      <c r="FKM16" s="238">
        <f t="shared" ref="FKM16" si="2173">FKM11*0.0425</f>
        <v>0</v>
      </c>
      <c r="FKO16" s="238">
        <f t="shared" ref="FKO16" si="2174">FKO11*0.0425</f>
        <v>0</v>
      </c>
      <c r="FKQ16" s="238">
        <f t="shared" ref="FKQ16" si="2175">FKQ11*0.0425</f>
        <v>0</v>
      </c>
      <c r="FKS16" s="238">
        <f t="shared" ref="FKS16" si="2176">FKS11*0.0425</f>
        <v>0</v>
      </c>
      <c r="FKU16" s="238">
        <f t="shared" ref="FKU16" si="2177">FKU11*0.0425</f>
        <v>0</v>
      </c>
      <c r="FKW16" s="238">
        <f t="shared" ref="FKW16" si="2178">FKW11*0.0425</f>
        <v>0</v>
      </c>
      <c r="FKY16" s="238">
        <f t="shared" ref="FKY16" si="2179">FKY11*0.0425</f>
        <v>0</v>
      </c>
      <c r="FLA16" s="238">
        <f t="shared" ref="FLA16" si="2180">FLA11*0.0425</f>
        <v>0</v>
      </c>
      <c r="FLC16" s="238">
        <f t="shared" ref="FLC16" si="2181">FLC11*0.0425</f>
        <v>0</v>
      </c>
      <c r="FLE16" s="238">
        <f t="shared" ref="FLE16" si="2182">FLE11*0.0425</f>
        <v>0</v>
      </c>
      <c r="FLG16" s="238">
        <f t="shared" ref="FLG16" si="2183">FLG11*0.0425</f>
        <v>0</v>
      </c>
      <c r="FLI16" s="238">
        <f t="shared" ref="FLI16" si="2184">FLI11*0.0425</f>
        <v>0</v>
      </c>
      <c r="FLK16" s="238">
        <f t="shared" ref="FLK16" si="2185">FLK11*0.0425</f>
        <v>0</v>
      </c>
      <c r="FLM16" s="238">
        <f t="shared" ref="FLM16" si="2186">FLM11*0.0425</f>
        <v>0</v>
      </c>
      <c r="FLO16" s="238">
        <f t="shared" ref="FLO16" si="2187">FLO11*0.0425</f>
        <v>0</v>
      </c>
      <c r="FLQ16" s="238">
        <f t="shared" ref="FLQ16" si="2188">FLQ11*0.0425</f>
        <v>0</v>
      </c>
      <c r="FLS16" s="238">
        <f t="shared" ref="FLS16" si="2189">FLS11*0.0425</f>
        <v>0</v>
      </c>
      <c r="FLU16" s="238">
        <f t="shared" ref="FLU16" si="2190">FLU11*0.0425</f>
        <v>0</v>
      </c>
      <c r="FLW16" s="238">
        <f t="shared" ref="FLW16" si="2191">FLW11*0.0425</f>
        <v>0</v>
      </c>
      <c r="FLY16" s="238">
        <f t="shared" ref="FLY16" si="2192">FLY11*0.0425</f>
        <v>0</v>
      </c>
      <c r="FMA16" s="238">
        <f t="shared" ref="FMA16" si="2193">FMA11*0.0425</f>
        <v>0</v>
      </c>
      <c r="FMC16" s="238">
        <f t="shared" ref="FMC16" si="2194">FMC11*0.0425</f>
        <v>0</v>
      </c>
      <c r="FME16" s="238">
        <f t="shared" ref="FME16" si="2195">FME11*0.0425</f>
        <v>0</v>
      </c>
      <c r="FMG16" s="238">
        <f t="shared" ref="FMG16" si="2196">FMG11*0.0425</f>
        <v>0</v>
      </c>
      <c r="FMI16" s="238">
        <f t="shared" ref="FMI16" si="2197">FMI11*0.0425</f>
        <v>0</v>
      </c>
      <c r="FMK16" s="238">
        <f t="shared" ref="FMK16" si="2198">FMK11*0.0425</f>
        <v>0</v>
      </c>
      <c r="FMM16" s="238">
        <f t="shared" ref="FMM16" si="2199">FMM11*0.0425</f>
        <v>0</v>
      </c>
      <c r="FMO16" s="238">
        <f t="shared" ref="FMO16" si="2200">FMO11*0.0425</f>
        <v>0</v>
      </c>
      <c r="FMQ16" s="238">
        <f t="shared" ref="FMQ16" si="2201">FMQ11*0.0425</f>
        <v>0</v>
      </c>
      <c r="FMS16" s="238">
        <f t="shared" ref="FMS16" si="2202">FMS11*0.0425</f>
        <v>0</v>
      </c>
      <c r="FMU16" s="238">
        <f t="shared" ref="FMU16" si="2203">FMU11*0.0425</f>
        <v>0</v>
      </c>
      <c r="FMW16" s="238">
        <f t="shared" ref="FMW16" si="2204">FMW11*0.0425</f>
        <v>0</v>
      </c>
      <c r="FMY16" s="238">
        <f t="shared" ref="FMY16" si="2205">FMY11*0.0425</f>
        <v>0</v>
      </c>
      <c r="FNA16" s="238">
        <f t="shared" ref="FNA16" si="2206">FNA11*0.0425</f>
        <v>0</v>
      </c>
      <c r="FNC16" s="238">
        <f t="shared" ref="FNC16" si="2207">FNC11*0.0425</f>
        <v>0</v>
      </c>
      <c r="FNE16" s="238">
        <f t="shared" ref="FNE16" si="2208">FNE11*0.0425</f>
        <v>0</v>
      </c>
      <c r="FNG16" s="238">
        <f t="shared" ref="FNG16" si="2209">FNG11*0.0425</f>
        <v>0</v>
      </c>
      <c r="FNI16" s="238">
        <f t="shared" ref="FNI16" si="2210">FNI11*0.0425</f>
        <v>0</v>
      </c>
      <c r="FNK16" s="238">
        <f t="shared" ref="FNK16" si="2211">FNK11*0.0425</f>
        <v>0</v>
      </c>
      <c r="FNM16" s="238">
        <f t="shared" ref="FNM16" si="2212">FNM11*0.0425</f>
        <v>0</v>
      </c>
      <c r="FNO16" s="238">
        <f t="shared" ref="FNO16" si="2213">FNO11*0.0425</f>
        <v>0</v>
      </c>
      <c r="FNQ16" s="238">
        <f t="shared" ref="FNQ16" si="2214">FNQ11*0.0425</f>
        <v>0</v>
      </c>
      <c r="FNS16" s="238">
        <f t="shared" ref="FNS16" si="2215">FNS11*0.0425</f>
        <v>0</v>
      </c>
      <c r="FNU16" s="238">
        <f t="shared" ref="FNU16" si="2216">FNU11*0.0425</f>
        <v>0</v>
      </c>
      <c r="FNW16" s="238">
        <f t="shared" ref="FNW16" si="2217">FNW11*0.0425</f>
        <v>0</v>
      </c>
      <c r="FNY16" s="238">
        <f t="shared" ref="FNY16" si="2218">FNY11*0.0425</f>
        <v>0</v>
      </c>
      <c r="FOA16" s="238">
        <f t="shared" ref="FOA16" si="2219">FOA11*0.0425</f>
        <v>0</v>
      </c>
      <c r="FOC16" s="238">
        <f t="shared" ref="FOC16" si="2220">FOC11*0.0425</f>
        <v>0</v>
      </c>
      <c r="FOE16" s="238">
        <f t="shared" ref="FOE16" si="2221">FOE11*0.0425</f>
        <v>0</v>
      </c>
      <c r="FOG16" s="238">
        <f t="shared" ref="FOG16" si="2222">FOG11*0.0425</f>
        <v>0</v>
      </c>
      <c r="FOI16" s="238">
        <f t="shared" ref="FOI16" si="2223">FOI11*0.0425</f>
        <v>0</v>
      </c>
      <c r="FOK16" s="238">
        <f t="shared" ref="FOK16" si="2224">FOK11*0.0425</f>
        <v>0</v>
      </c>
      <c r="FOM16" s="238">
        <f t="shared" ref="FOM16" si="2225">FOM11*0.0425</f>
        <v>0</v>
      </c>
      <c r="FOO16" s="238">
        <f t="shared" ref="FOO16" si="2226">FOO11*0.0425</f>
        <v>0</v>
      </c>
      <c r="FOQ16" s="238">
        <f t="shared" ref="FOQ16" si="2227">FOQ11*0.0425</f>
        <v>0</v>
      </c>
      <c r="FOS16" s="238">
        <f t="shared" ref="FOS16" si="2228">FOS11*0.0425</f>
        <v>0</v>
      </c>
      <c r="FOU16" s="238">
        <f t="shared" ref="FOU16" si="2229">FOU11*0.0425</f>
        <v>0</v>
      </c>
      <c r="FOW16" s="238">
        <f t="shared" ref="FOW16" si="2230">FOW11*0.0425</f>
        <v>0</v>
      </c>
      <c r="FOY16" s="238">
        <f t="shared" ref="FOY16" si="2231">FOY11*0.0425</f>
        <v>0</v>
      </c>
      <c r="FPA16" s="238">
        <f t="shared" ref="FPA16" si="2232">FPA11*0.0425</f>
        <v>0</v>
      </c>
      <c r="FPC16" s="238">
        <f t="shared" ref="FPC16" si="2233">FPC11*0.0425</f>
        <v>0</v>
      </c>
      <c r="FPE16" s="238">
        <f t="shared" ref="FPE16" si="2234">FPE11*0.0425</f>
        <v>0</v>
      </c>
      <c r="FPG16" s="238">
        <f t="shared" ref="FPG16" si="2235">FPG11*0.0425</f>
        <v>0</v>
      </c>
      <c r="FPI16" s="238">
        <f t="shared" ref="FPI16" si="2236">FPI11*0.0425</f>
        <v>0</v>
      </c>
      <c r="FPK16" s="238">
        <f t="shared" ref="FPK16" si="2237">FPK11*0.0425</f>
        <v>0</v>
      </c>
      <c r="FPM16" s="238">
        <f t="shared" ref="FPM16" si="2238">FPM11*0.0425</f>
        <v>0</v>
      </c>
      <c r="FPO16" s="238">
        <f t="shared" ref="FPO16" si="2239">FPO11*0.0425</f>
        <v>0</v>
      </c>
      <c r="FPQ16" s="238">
        <f t="shared" ref="FPQ16" si="2240">FPQ11*0.0425</f>
        <v>0</v>
      </c>
      <c r="FPS16" s="238">
        <f t="shared" ref="FPS16" si="2241">FPS11*0.0425</f>
        <v>0</v>
      </c>
      <c r="FPU16" s="238">
        <f t="shared" ref="FPU16" si="2242">FPU11*0.0425</f>
        <v>0</v>
      </c>
      <c r="FPW16" s="238">
        <f t="shared" ref="FPW16" si="2243">FPW11*0.0425</f>
        <v>0</v>
      </c>
      <c r="FPY16" s="238">
        <f t="shared" ref="FPY16" si="2244">FPY11*0.0425</f>
        <v>0</v>
      </c>
      <c r="FQA16" s="238">
        <f t="shared" ref="FQA16" si="2245">FQA11*0.0425</f>
        <v>0</v>
      </c>
      <c r="FQC16" s="238">
        <f t="shared" ref="FQC16" si="2246">FQC11*0.0425</f>
        <v>0</v>
      </c>
      <c r="FQE16" s="238">
        <f t="shared" ref="FQE16" si="2247">FQE11*0.0425</f>
        <v>0</v>
      </c>
      <c r="FQG16" s="238">
        <f t="shared" ref="FQG16" si="2248">FQG11*0.0425</f>
        <v>0</v>
      </c>
      <c r="FQI16" s="238">
        <f t="shared" ref="FQI16" si="2249">FQI11*0.0425</f>
        <v>0</v>
      </c>
      <c r="FQK16" s="238">
        <f t="shared" ref="FQK16" si="2250">FQK11*0.0425</f>
        <v>0</v>
      </c>
      <c r="FQM16" s="238">
        <f t="shared" ref="FQM16" si="2251">FQM11*0.0425</f>
        <v>0</v>
      </c>
      <c r="FQO16" s="238">
        <f t="shared" ref="FQO16" si="2252">FQO11*0.0425</f>
        <v>0</v>
      </c>
      <c r="FQQ16" s="238">
        <f t="shared" ref="FQQ16" si="2253">FQQ11*0.0425</f>
        <v>0</v>
      </c>
      <c r="FQS16" s="238">
        <f t="shared" ref="FQS16" si="2254">FQS11*0.0425</f>
        <v>0</v>
      </c>
      <c r="FQU16" s="238">
        <f t="shared" ref="FQU16" si="2255">FQU11*0.0425</f>
        <v>0</v>
      </c>
      <c r="FQW16" s="238">
        <f t="shared" ref="FQW16" si="2256">FQW11*0.0425</f>
        <v>0</v>
      </c>
      <c r="FQY16" s="238">
        <f t="shared" ref="FQY16" si="2257">FQY11*0.0425</f>
        <v>0</v>
      </c>
      <c r="FRA16" s="238">
        <f t="shared" ref="FRA16" si="2258">FRA11*0.0425</f>
        <v>0</v>
      </c>
      <c r="FRC16" s="238">
        <f t="shared" ref="FRC16" si="2259">FRC11*0.0425</f>
        <v>0</v>
      </c>
      <c r="FRE16" s="238">
        <f t="shared" ref="FRE16" si="2260">FRE11*0.0425</f>
        <v>0</v>
      </c>
      <c r="FRG16" s="238">
        <f t="shared" ref="FRG16" si="2261">FRG11*0.0425</f>
        <v>0</v>
      </c>
      <c r="FRI16" s="238">
        <f t="shared" ref="FRI16" si="2262">FRI11*0.0425</f>
        <v>0</v>
      </c>
      <c r="FRK16" s="238">
        <f t="shared" ref="FRK16" si="2263">FRK11*0.0425</f>
        <v>0</v>
      </c>
      <c r="FRM16" s="238">
        <f t="shared" ref="FRM16" si="2264">FRM11*0.0425</f>
        <v>0</v>
      </c>
      <c r="FRO16" s="238">
        <f t="shared" ref="FRO16" si="2265">FRO11*0.0425</f>
        <v>0</v>
      </c>
      <c r="FRQ16" s="238">
        <f t="shared" ref="FRQ16" si="2266">FRQ11*0.0425</f>
        <v>0</v>
      </c>
      <c r="FRS16" s="238">
        <f t="shared" ref="FRS16" si="2267">FRS11*0.0425</f>
        <v>0</v>
      </c>
      <c r="FRU16" s="238">
        <f t="shared" ref="FRU16" si="2268">FRU11*0.0425</f>
        <v>0</v>
      </c>
      <c r="FRW16" s="238">
        <f t="shared" ref="FRW16" si="2269">FRW11*0.0425</f>
        <v>0</v>
      </c>
      <c r="FRY16" s="238">
        <f t="shared" ref="FRY16" si="2270">FRY11*0.0425</f>
        <v>0</v>
      </c>
      <c r="FSA16" s="238">
        <f t="shared" ref="FSA16" si="2271">FSA11*0.0425</f>
        <v>0</v>
      </c>
      <c r="FSC16" s="238">
        <f t="shared" ref="FSC16" si="2272">FSC11*0.0425</f>
        <v>0</v>
      </c>
      <c r="FSE16" s="238">
        <f t="shared" ref="FSE16" si="2273">FSE11*0.0425</f>
        <v>0</v>
      </c>
      <c r="FSG16" s="238">
        <f t="shared" ref="FSG16" si="2274">FSG11*0.0425</f>
        <v>0</v>
      </c>
      <c r="FSI16" s="238">
        <f t="shared" ref="FSI16" si="2275">FSI11*0.0425</f>
        <v>0</v>
      </c>
      <c r="FSK16" s="238">
        <f t="shared" ref="FSK16" si="2276">FSK11*0.0425</f>
        <v>0</v>
      </c>
      <c r="FSM16" s="238">
        <f t="shared" ref="FSM16" si="2277">FSM11*0.0425</f>
        <v>0</v>
      </c>
      <c r="FSO16" s="238">
        <f t="shared" ref="FSO16" si="2278">FSO11*0.0425</f>
        <v>0</v>
      </c>
      <c r="FSQ16" s="238">
        <f t="shared" ref="FSQ16" si="2279">FSQ11*0.0425</f>
        <v>0</v>
      </c>
      <c r="FSS16" s="238">
        <f t="shared" ref="FSS16" si="2280">FSS11*0.0425</f>
        <v>0</v>
      </c>
      <c r="FSU16" s="238">
        <f t="shared" ref="FSU16" si="2281">FSU11*0.0425</f>
        <v>0</v>
      </c>
      <c r="FSW16" s="238">
        <f t="shared" ref="FSW16" si="2282">FSW11*0.0425</f>
        <v>0</v>
      </c>
      <c r="FSY16" s="238">
        <f t="shared" ref="FSY16" si="2283">FSY11*0.0425</f>
        <v>0</v>
      </c>
      <c r="FTA16" s="238">
        <f t="shared" ref="FTA16" si="2284">FTA11*0.0425</f>
        <v>0</v>
      </c>
      <c r="FTC16" s="238">
        <f t="shared" ref="FTC16" si="2285">FTC11*0.0425</f>
        <v>0</v>
      </c>
      <c r="FTE16" s="238">
        <f t="shared" ref="FTE16" si="2286">FTE11*0.0425</f>
        <v>0</v>
      </c>
      <c r="FTG16" s="238">
        <f t="shared" ref="FTG16" si="2287">FTG11*0.0425</f>
        <v>0</v>
      </c>
      <c r="FTI16" s="238">
        <f t="shared" ref="FTI16" si="2288">FTI11*0.0425</f>
        <v>0</v>
      </c>
      <c r="FTK16" s="238">
        <f t="shared" ref="FTK16" si="2289">FTK11*0.0425</f>
        <v>0</v>
      </c>
      <c r="FTM16" s="238">
        <f t="shared" ref="FTM16" si="2290">FTM11*0.0425</f>
        <v>0</v>
      </c>
      <c r="FTO16" s="238">
        <f t="shared" ref="FTO16" si="2291">FTO11*0.0425</f>
        <v>0</v>
      </c>
      <c r="FTQ16" s="238">
        <f t="shared" ref="FTQ16" si="2292">FTQ11*0.0425</f>
        <v>0</v>
      </c>
      <c r="FTS16" s="238">
        <f t="shared" ref="FTS16" si="2293">FTS11*0.0425</f>
        <v>0</v>
      </c>
      <c r="FTU16" s="238">
        <f t="shared" ref="FTU16" si="2294">FTU11*0.0425</f>
        <v>0</v>
      </c>
      <c r="FTW16" s="238">
        <f t="shared" ref="FTW16" si="2295">FTW11*0.0425</f>
        <v>0</v>
      </c>
      <c r="FTY16" s="238">
        <f t="shared" ref="FTY16" si="2296">FTY11*0.0425</f>
        <v>0</v>
      </c>
      <c r="FUA16" s="238">
        <f t="shared" ref="FUA16" si="2297">FUA11*0.0425</f>
        <v>0</v>
      </c>
      <c r="FUC16" s="238">
        <f t="shared" ref="FUC16" si="2298">FUC11*0.0425</f>
        <v>0</v>
      </c>
      <c r="FUE16" s="238">
        <f t="shared" ref="FUE16" si="2299">FUE11*0.0425</f>
        <v>0</v>
      </c>
      <c r="FUG16" s="238">
        <f t="shared" ref="FUG16" si="2300">FUG11*0.0425</f>
        <v>0</v>
      </c>
      <c r="FUI16" s="238">
        <f t="shared" ref="FUI16" si="2301">FUI11*0.0425</f>
        <v>0</v>
      </c>
      <c r="FUK16" s="238">
        <f t="shared" ref="FUK16" si="2302">FUK11*0.0425</f>
        <v>0</v>
      </c>
      <c r="FUM16" s="238">
        <f t="shared" ref="FUM16" si="2303">FUM11*0.0425</f>
        <v>0</v>
      </c>
      <c r="FUO16" s="238">
        <f t="shared" ref="FUO16" si="2304">FUO11*0.0425</f>
        <v>0</v>
      </c>
      <c r="FUQ16" s="238">
        <f t="shared" ref="FUQ16" si="2305">FUQ11*0.0425</f>
        <v>0</v>
      </c>
      <c r="FUS16" s="238">
        <f t="shared" ref="FUS16" si="2306">FUS11*0.0425</f>
        <v>0</v>
      </c>
      <c r="FUU16" s="238">
        <f t="shared" ref="FUU16" si="2307">FUU11*0.0425</f>
        <v>0</v>
      </c>
      <c r="FUW16" s="238">
        <f t="shared" ref="FUW16" si="2308">FUW11*0.0425</f>
        <v>0</v>
      </c>
      <c r="FUY16" s="238">
        <f t="shared" ref="FUY16" si="2309">FUY11*0.0425</f>
        <v>0</v>
      </c>
      <c r="FVA16" s="238">
        <f t="shared" ref="FVA16" si="2310">FVA11*0.0425</f>
        <v>0</v>
      </c>
      <c r="FVC16" s="238">
        <f t="shared" ref="FVC16" si="2311">FVC11*0.0425</f>
        <v>0</v>
      </c>
      <c r="FVE16" s="238">
        <f t="shared" ref="FVE16" si="2312">FVE11*0.0425</f>
        <v>0</v>
      </c>
      <c r="FVG16" s="238">
        <f t="shared" ref="FVG16" si="2313">FVG11*0.0425</f>
        <v>0</v>
      </c>
      <c r="FVI16" s="238">
        <f t="shared" ref="FVI16" si="2314">FVI11*0.0425</f>
        <v>0</v>
      </c>
      <c r="FVK16" s="238">
        <f t="shared" ref="FVK16" si="2315">FVK11*0.0425</f>
        <v>0</v>
      </c>
      <c r="FVM16" s="238">
        <f t="shared" ref="FVM16" si="2316">FVM11*0.0425</f>
        <v>0</v>
      </c>
      <c r="FVO16" s="238">
        <f t="shared" ref="FVO16" si="2317">FVO11*0.0425</f>
        <v>0</v>
      </c>
      <c r="FVQ16" s="238">
        <f t="shared" ref="FVQ16" si="2318">FVQ11*0.0425</f>
        <v>0</v>
      </c>
      <c r="FVS16" s="238">
        <f t="shared" ref="FVS16" si="2319">FVS11*0.0425</f>
        <v>0</v>
      </c>
      <c r="FVU16" s="238">
        <f t="shared" ref="FVU16" si="2320">FVU11*0.0425</f>
        <v>0</v>
      </c>
      <c r="FVW16" s="238">
        <f t="shared" ref="FVW16" si="2321">FVW11*0.0425</f>
        <v>0</v>
      </c>
      <c r="FVY16" s="238">
        <f t="shared" ref="FVY16" si="2322">FVY11*0.0425</f>
        <v>0</v>
      </c>
      <c r="FWA16" s="238">
        <f t="shared" ref="FWA16" si="2323">FWA11*0.0425</f>
        <v>0</v>
      </c>
      <c r="FWC16" s="238">
        <f t="shared" ref="FWC16" si="2324">FWC11*0.0425</f>
        <v>0</v>
      </c>
      <c r="FWE16" s="238">
        <f t="shared" ref="FWE16" si="2325">FWE11*0.0425</f>
        <v>0</v>
      </c>
      <c r="FWG16" s="238">
        <f t="shared" ref="FWG16" si="2326">FWG11*0.0425</f>
        <v>0</v>
      </c>
      <c r="FWI16" s="238">
        <f t="shared" ref="FWI16" si="2327">FWI11*0.0425</f>
        <v>0</v>
      </c>
      <c r="FWK16" s="238">
        <f t="shared" ref="FWK16" si="2328">FWK11*0.0425</f>
        <v>0</v>
      </c>
      <c r="FWM16" s="238">
        <f t="shared" ref="FWM16" si="2329">FWM11*0.0425</f>
        <v>0</v>
      </c>
      <c r="FWO16" s="238">
        <f t="shared" ref="FWO16" si="2330">FWO11*0.0425</f>
        <v>0</v>
      </c>
      <c r="FWQ16" s="238">
        <f t="shared" ref="FWQ16" si="2331">FWQ11*0.0425</f>
        <v>0</v>
      </c>
      <c r="FWS16" s="238">
        <f t="shared" ref="FWS16" si="2332">FWS11*0.0425</f>
        <v>0</v>
      </c>
      <c r="FWU16" s="238">
        <f t="shared" ref="FWU16" si="2333">FWU11*0.0425</f>
        <v>0</v>
      </c>
      <c r="FWW16" s="238">
        <f t="shared" ref="FWW16" si="2334">FWW11*0.0425</f>
        <v>0</v>
      </c>
      <c r="FWY16" s="238">
        <f t="shared" ref="FWY16" si="2335">FWY11*0.0425</f>
        <v>0</v>
      </c>
      <c r="FXA16" s="238">
        <f t="shared" ref="FXA16" si="2336">FXA11*0.0425</f>
        <v>0</v>
      </c>
      <c r="FXC16" s="238">
        <f t="shared" ref="FXC16" si="2337">FXC11*0.0425</f>
        <v>0</v>
      </c>
      <c r="FXE16" s="238">
        <f t="shared" ref="FXE16" si="2338">FXE11*0.0425</f>
        <v>0</v>
      </c>
      <c r="FXG16" s="238">
        <f t="shared" ref="FXG16" si="2339">FXG11*0.0425</f>
        <v>0</v>
      </c>
      <c r="FXI16" s="238">
        <f t="shared" ref="FXI16" si="2340">FXI11*0.0425</f>
        <v>0</v>
      </c>
      <c r="FXK16" s="238">
        <f t="shared" ref="FXK16" si="2341">FXK11*0.0425</f>
        <v>0</v>
      </c>
      <c r="FXM16" s="238">
        <f t="shared" ref="FXM16" si="2342">FXM11*0.0425</f>
        <v>0</v>
      </c>
      <c r="FXO16" s="238">
        <f t="shared" ref="FXO16" si="2343">FXO11*0.0425</f>
        <v>0</v>
      </c>
      <c r="FXQ16" s="238">
        <f t="shared" ref="FXQ16" si="2344">FXQ11*0.0425</f>
        <v>0</v>
      </c>
      <c r="FXS16" s="238">
        <f t="shared" ref="FXS16" si="2345">FXS11*0.0425</f>
        <v>0</v>
      </c>
      <c r="FXU16" s="238">
        <f t="shared" ref="FXU16" si="2346">FXU11*0.0425</f>
        <v>0</v>
      </c>
      <c r="FXW16" s="238">
        <f t="shared" ref="FXW16" si="2347">FXW11*0.0425</f>
        <v>0</v>
      </c>
      <c r="FXY16" s="238">
        <f t="shared" ref="FXY16" si="2348">FXY11*0.0425</f>
        <v>0</v>
      </c>
      <c r="FYA16" s="238">
        <f t="shared" ref="FYA16" si="2349">FYA11*0.0425</f>
        <v>0</v>
      </c>
      <c r="FYC16" s="238">
        <f t="shared" ref="FYC16" si="2350">FYC11*0.0425</f>
        <v>0</v>
      </c>
      <c r="FYE16" s="238">
        <f t="shared" ref="FYE16" si="2351">FYE11*0.0425</f>
        <v>0</v>
      </c>
      <c r="FYG16" s="238">
        <f t="shared" ref="FYG16" si="2352">FYG11*0.0425</f>
        <v>0</v>
      </c>
      <c r="FYI16" s="238">
        <f t="shared" ref="FYI16" si="2353">FYI11*0.0425</f>
        <v>0</v>
      </c>
      <c r="FYK16" s="238">
        <f t="shared" ref="FYK16" si="2354">FYK11*0.0425</f>
        <v>0</v>
      </c>
      <c r="FYM16" s="238">
        <f t="shared" ref="FYM16" si="2355">FYM11*0.0425</f>
        <v>0</v>
      </c>
      <c r="FYO16" s="238">
        <f t="shared" ref="FYO16" si="2356">FYO11*0.0425</f>
        <v>0</v>
      </c>
      <c r="FYQ16" s="238">
        <f t="shared" ref="FYQ16" si="2357">FYQ11*0.0425</f>
        <v>0</v>
      </c>
      <c r="FYS16" s="238">
        <f t="shared" ref="FYS16" si="2358">FYS11*0.0425</f>
        <v>0</v>
      </c>
      <c r="FYU16" s="238">
        <f t="shared" ref="FYU16" si="2359">FYU11*0.0425</f>
        <v>0</v>
      </c>
      <c r="FYW16" s="238">
        <f t="shared" ref="FYW16" si="2360">FYW11*0.0425</f>
        <v>0</v>
      </c>
      <c r="FYY16" s="238">
        <f t="shared" ref="FYY16" si="2361">FYY11*0.0425</f>
        <v>0</v>
      </c>
      <c r="FZA16" s="238">
        <f t="shared" ref="FZA16" si="2362">FZA11*0.0425</f>
        <v>0</v>
      </c>
      <c r="FZC16" s="238">
        <f t="shared" ref="FZC16" si="2363">FZC11*0.0425</f>
        <v>0</v>
      </c>
      <c r="FZE16" s="238">
        <f t="shared" ref="FZE16" si="2364">FZE11*0.0425</f>
        <v>0</v>
      </c>
      <c r="FZG16" s="238">
        <f t="shared" ref="FZG16" si="2365">FZG11*0.0425</f>
        <v>0</v>
      </c>
      <c r="FZI16" s="238">
        <f t="shared" ref="FZI16" si="2366">FZI11*0.0425</f>
        <v>0</v>
      </c>
      <c r="FZK16" s="238">
        <f t="shared" ref="FZK16" si="2367">FZK11*0.0425</f>
        <v>0</v>
      </c>
      <c r="FZM16" s="238">
        <f t="shared" ref="FZM16" si="2368">FZM11*0.0425</f>
        <v>0</v>
      </c>
      <c r="FZO16" s="238">
        <f t="shared" ref="FZO16" si="2369">FZO11*0.0425</f>
        <v>0</v>
      </c>
      <c r="FZQ16" s="238">
        <f t="shared" ref="FZQ16" si="2370">FZQ11*0.0425</f>
        <v>0</v>
      </c>
      <c r="FZS16" s="238">
        <f t="shared" ref="FZS16" si="2371">FZS11*0.0425</f>
        <v>0</v>
      </c>
      <c r="FZU16" s="238">
        <f t="shared" ref="FZU16" si="2372">FZU11*0.0425</f>
        <v>0</v>
      </c>
      <c r="FZW16" s="238">
        <f t="shared" ref="FZW16" si="2373">FZW11*0.0425</f>
        <v>0</v>
      </c>
      <c r="FZY16" s="238">
        <f t="shared" ref="FZY16" si="2374">FZY11*0.0425</f>
        <v>0</v>
      </c>
      <c r="GAA16" s="238">
        <f t="shared" ref="GAA16" si="2375">GAA11*0.0425</f>
        <v>0</v>
      </c>
      <c r="GAC16" s="238">
        <f t="shared" ref="GAC16" si="2376">GAC11*0.0425</f>
        <v>0</v>
      </c>
      <c r="GAE16" s="238">
        <f t="shared" ref="GAE16" si="2377">GAE11*0.0425</f>
        <v>0</v>
      </c>
      <c r="GAG16" s="238">
        <f t="shared" ref="GAG16" si="2378">GAG11*0.0425</f>
        <v>0</v>
      </c>
      <c r="GAI16" s="238">
        <f t="shared" ref="GAI16" si="2379">GAI11*0.0425</f>
        <v>0</v>
      </c>
      <c r="GAK16" s="238">
        <f t="shared" ref="GAK16" si="2380">GAK11*0.0425</f>
        <v>0</v>
      </c>
      <c r="GAM16" s="238">
        <f t="shared" ref="GAM16" si="2381">GAM11*0.0425</f>
        <v>0</v>
      </c>
      <c r="GAO16" s="238">
        <f t="shared" ref="GAO16" si="2382">GAO11*0.0425</f>
        <v>0</v>
      </c>
      <c r="GAQ16" s="238">
        <f t="shared" ref="GAQ16" si="2383">GAQ11*0.0425</f>
        <v>0</v>
      </c>
      <c r="GAS16" s="238">
        <f t="shared" ref="GAS16" si="2384">GAS11*0.0425</f>
        <v>0</v>
      </c>
      <c r="GAU16" s="238">
        <f t="shared" ref="GAU16" si="2385">GAU11*0.0425</f>
        <v>0</v>
      </c>
      <c r="GAW16" s="238">
        <f t="shared" ref="GAW16" si="2386">GAW11*0.0425</f>
        <v>0</v>
      </c>
      <c r="GAY16" s="238">
        <f t="shared" ref="GAY16" si="2387">GAY11*0.0425</f>
        <v>0</v>
      </c>
      <c r="GBA16" s="238">
        <f t="shared" ref="GBA16" si="2388">GBA11*0.0425</f>
        <v>0</v>
      </c>
      <c r="GBC16" s="238">
        <f t="shared" ref="GBC16" si="2389">GBC11*0.0425</f>
        <v>0</v>
      </c>
      <c r="GBE16" s="238">
        <f t="shared" ref="GBE16" si="2390">GBE11*0.0425</f>
        <v>0</v>
      </c>
      <c r="GBG16" s="238">
        <f t="shared" ref="GBG16" si="2391">GBG11*0.0425</f>
        <v>0</v>
      </c>
      <c r="GBI16" s="238">
        <f t="shared" ref="GBI16" si="2392">GBI11*0.0425</f>
        <v>0</v>
      </c>
      <c r="GBK16" s="238">
        <f t="shared" ref="GBK16" si="2393">GBK11*0.0425</f>
        <v>0</v>
      </c>
      <c r="GBM16" s="238">
        <f t="shared" ref="GBM16" si="2394">GBM11*0.0425</f>
        <v>0</v>
      </c>
      <c r="GBO16" s="238">
        <f t="shared" ref="GBO16" si="2395">GBO11*0.0425</f>
        <v>0</v>
      </c>
      <c r="GBQ16" s="238">
        <f t="shared" ref="GBQ16" si="2396">GBQ11*0.0425</f>
        <v>0</v>
      </c>
      <c r="GBS16" s="238">
        <f t="shared" ref="GBS16" si="2397">GBS11*0.0425</f>
        <v>0</v>
      </c>
      <c r="GBU16" s="238">
        <f t="shared" ref="GBU16" si="2398">GBU11*0.0425</f>
        <v>0</v>
      </c>
      <c r="GBW16" s="238">
        <f t="shared" ref="GBW16" si="2399">GBW11*0.0425</f>
        <v>0</v>
      </c>
      <c r="GBY16" s="238">
        <f t="shared" ref="GBY16" si="2400">GBY11*0.0425</f>
        <v>0</v>
      </c>
      <c r="GCA16" s="238">
        <f t="shared" ref="GCA16" si="2401">GCA11*0.0425</f>
        <v>0</v>
      </c>
      <c r="GCC16" s="238">
        <f t="shared" ref="GCC16" si="2402">GCC11*0.0425</f>
        <v>0</v>
      </c>
      <c r="GCE16" s="238">
        <f t="shared" ref="GCE16" si="2403">GCE11*0.0425</f>
        <v>0</v>
      </c>
      <c r="GCG16" s="238">
        <f t="shared" ref="GCG16" si="2404">GCG11*0.0425</f>
        <v>0</v>
      </c>
      <c r="GCI16" s="238">
        <f t="shared" ref="GCI16" si="2405">GCI11*0.0425</f>
        <v>0</v>
      </c>
      <c r="GCK16" s="238">
        <f t="shared" ref="GCK16" si="2406">GCK11*0.0425</f>
        <v>0</v>
      </c>
      <c r="GCM16" s="238">
        <f t="shared" ref="GCM16" si="2407">GCM11*0.0425</f>
        <v>0</v>
      </c>
      <c r="GCO16" s="238">
        <f t="shared" ref="GCO16" si="2408">GCO11*0.0425</f>
        <v>0</v>
      </c>
      <c r="GCQ16" s="238">
        <f t="shared" ref="GCQ16" si="2409">GCQ11*0.0425</f>
        <v>0</v>
      </c>
      <c r="GCS16" s="238">
        <f t="shared" ref="GCS16" si="2410">GCS11*0.0425</f>
        <v>0</v>
      </c>
      <c r="GCU16" s="238">
        <f t="shared" ref="GCU16" si="2411">GCU11*0.0425</f>
        <v>0</v>
      </c>
      <c r="GCW16" s="238">
        <f t="shared" ref="GCW16" si="2412">GCW11*0.0425</f>
        <v>0</v>
      </c>
      <c r="GCY16" s="238">
        <f t="shared" ref="GCY16" si="2413">GCY11*0.0425</f>
        <v>0</v>
      </c>
      <c r="GDA16" s="238">
        <f t="shared" ref="GDA16" si="2414">GDA11*0.0425</f>
        <v>0</v>
      </c>
      <c r="GDC16" s="238">
        <f t="shared" ref="GDC16" si="2415">GDC11*0.0425</f>
        <v>0</v>
      </c>
      <c r="GDE16" s="238">
        <f t="shared" ref="GDE16" si="2416">GDE11*0.0425</f>
        <v>0</v>
      </c>
      <c r="GDG16" s="238">
        <f t="shared" ref="GDG16" si="2417">GDG11*0.0425</f>
        <v>0</v>
      </c>
      <c r="GDI16" s="238">
        <f t="shared" ref="GDI16" si="2418">GDI11*0.0425</f>
        <v>0</v>
      </c>
      <c r="GDK16" s="238">
        <f t="shared" ref="GDK16" si="2419">GDK11*0.0425</f>
        <v>0</v>
      </c>
      <c r="GDM16" s="238">
        <f t="shared" ref="GDM16" si="2420">GDM11*0.0425</f>
        <v>0</v>
      </c>
      <c r="GDO16" s="238">
        <f t="shared" ref="GDO16" si="2421">GDO11*0.0425</f>
        <v>0</v>
      </c>
      <c r="GDQ16" s="238">
        <f t="shared" ref="GDQ16" si="2422">GDQ11*0.0425</f>
        <v>0</v>
      </c>
      <c r="GDS16" s="238">
        <f t="shared" ref="GDS16" si="2423">GDS11*0.0425</f>
        <v>0</v>
      </c>
      <c r="GDU16" s="238">
        <f t="shared" ref="GDU16" si="2424">GDU11*0.0425</f>
        <v>0</v>
      </c>
      <c r="GDW16" s="238">
        <f t="shared" ref="GDW16" si="2425">GDW11*0.0425</f>
        <v>0</v>
      </c>
      <c r="GDY16" s="238">
        <f t="shared" ref="GDY16" si="2426">GDY11*0.0425</f>
        <v>0</v>
      </c>
      <c r="GEA16" s="238">
        <f t="shared" ref="GEA16" si="2427">GEA11*0.0425</f>
        <v>0</v>
      </c>
      <c r="GEC16" s="238">
        <f t="shared" ref="GEC16" si="2428">GEC11*0.0425</f>
        <v>0</v>
      </c>
      <c r="GEE16" s="238">
        <f t="shared" ref="GEE16" si="2429">GEE11*0.0425</f>
        <v>0</v>
      </c>
      <c r="GEG16" s="238">
        <f t="shared" ref="GEG16" si="2430">GEG11*0.0425</f>
        <v>0</v>
      </c>
      <c r="GEI16" s="238">
        <f t="shared" ref="GEI16" si="2431">GEI11*0.0425</f>
        <v>0</v>
      </c>
      <c r="GEK16" s="238">
        <f t="shared" ref="GEK16" si="2432">GEK11*0.0425</f>
        <v>0</v>
      </c>
      <c r="GEM16" s="238">
        <f t="shared" ref="GEM16" si="2433">GEM11*0.0425</f>
        <v>0</v>
      </c>
      <c r="GEO16" s="238">
        <f t="shared" ref="GEO16" si="2434">GEO11*0.0425</f>
        <v>0</v>
      </c>
      <c r="GEQ16" s="238">
        <f t="shared" ref="GEQ16" si="2435">GEQ11*0.0425</f>
        <v>0</v>
      </c>
      <c r="GES16" s="238">
        <f t="shared" ref="GES16" si="2436">GES11*0.0425</f>
        <v>0</v>
      </c>
      <c r="GEU16" s="238">
        <f t="shared" ref="GEU16" si="2437">GEU11*0.0425</f>
        <v>0</v>
      </c>
      <c r="GEW16" s="238">
        <f t="shared" ref="GEW16" si="2438">GEW11*0.0425</f>
        <v>0</v>
      </c>
      <c r="GEY16" s="238">
        <f t="shared" ref="GEY16" si="2439">GEY11*0.0425</f>
        <v>0</v>
      </c>
      <c r="GFA16" s="238">
        <f t="shared" ref="GFA16" si="2440">GFA11*0.0425</f>
        <v>0</v>
      </c>
      <c r="GFC16" s="238">
        <f t="shared" ref="GFC16" si="2441">GFC11*0.0425</f>
        <v>0</v>
      </c>
      <c r="GFE16" s="238">
        <f t="shared" ref="GFE16" si="2442">GFE11*0.0425</f>
        <v>0</v>
      </c>
      <c r="GFG16" s="238">
        <f t="shared" ref="GFG16" si="2443">GFG11*0.0425</f>
        <v>0</v>
      </c>
      <c r="GFI16" s="238">
        <f t="shared" ref="GFI16" si="2444">GFI11*0.0425</f>
        <v>0</v>
      </c>
      <c r="GFK16" s="238">
        <f t="shared" ref="GFK16" si="2445">GFK11*0.0425</f>
        <v>0</v>
      </c>
      <c r="GFM16" s="238">
        <f t="shared" ref="GFM16" si="2446">GFM11*0.0425</f>
        <v>0</v>
      </c>
      <c r="GFO16" s="238">
        <f t="shared" ref="GFO16" si="2447">GFO11*0.0425</f>
        <v>0</v>
      </c>
      <c r="GFQ16" s="238">
        <f t="shared" ref="GFQ16" si="2448">GFQ11*0.0425</f>
        <v>0</v>
      </c>
      <c r="GFS16" s="238">
        <f t="shared" ref="GFS16" si="2449">GFS11*0.0425</f>
        <v>0</v>
      </c>
      <c r="GFU16" s="238">
        <f t="shared" ref="GFU16" si="2450">GFU11*0.0425</f>
        <v>0</v>
      </c>
      <c r="GFW16" s="238">
        <f t="shared" ref="GFW16" si="2451">GFW11*0.0425</f>
        <v>0</v>
      </c>
      <c r="GFY16" s="238">
        <f t="shared" ref="GFY16" si="2452">GFY11*0.0425</f>
        <v>0</v>
      </c>
      <c r="GGA16" s="238">
        <f t="shared" ref="GGA16" si="2453">GGA11*0.0425</f>
        <v>0</v>
      </c>
      <c r="GGC16" s="238">
        <f t="shared" ref="GGC16" si="2454">GGC11*0.0425</f>
        <v>0</v>
      </c>
      <c r="GGE16" s="238">
        <f t="shared" ref="GGE16" si="2455">GGE11*0.0425</f>
        <v>0</v>
      </c>
      <c r="GGG16" s="238">
        <f t="shared" ref="GGG16" si="2456">GGG11*0.0425</f>
        <v>0</v>
      </c>
      <c r="GGI16" s="238">
        <f t="shared" ref="GGI16" si="2457">GGI11*0.0425</f>
        <v>0</v>
      </c>
      <c r="GGK16" s="238">
        <f t="shared" ref="GGK16" si="2458">GGK11*0.0425</f>
        <v>0</v>
      </c>
      <c r="GGM16" s="238">
        <f t="shared" ref="GGM16" si="2459">GGM11*0.0425</f>
        <v>0</v>
      </c>
      <c r="GGO16" s="238">
        <f t="shared" ref="GGO16" si="2460">GGO11*0.0425</f>
        <v>0</v>
      </c>
      <c r="GGQ16" s="238">
        <f t="shared" ref="GGQ16" si="2461">GGQ11*0.0425</f>
        <v>0</v>
      </c>
      <c r="GGS16" s="238">
        <f t="shared" ref="GGS16" si="2462">GGS11*0.0425</f>
        <v>0</v>
      </c>
      <c r="GGU16" s="238">
        <f t="shared" ref="GGU16" si="2463">GGU11*0.0425</f>
        <v>0</v>
      </c>
      <c r="GGW16" s="238">
        <f t="shared" ref="GGW16" si="2464">GGW11*0.0425</f>
        <v>0</v>
      </c>
      <c r="GGY16" s="238">
        <f t="shared" ref="GGY16" si="2465">GGY11*0.0425</f>
        <v>0</v>
      </c>
      <c r="GHA16" s="238">
        <f t="shared" ref="GHA16" si="2466">GHA11*0.0425</f>
        <v>0</v>
      </c>
      <c r="GHC16" s="238">
        <f t="shared" ref="GHC16" si="2467">GHC11*0.0425</f>
        <v>0</v>
      </c>
      <c r="GHE16" s="238">
        <f t="shared" ref="GHE16" si="2468">GHE11*0.0425</f>
        <v>0</v>
      </c>
      <c r="GHG16" s="238">
        <f t="shared" ref="GHG16" si="2469">GHG11*0.0425</f>
        <v>0</v>
      </c>
      <c r="GHI16" s="238">
        <f t="shared" ref="GHI16" si="2470">GHI11*0.0425</f>
        <v>0</v>
      </c>
      <c r="GHK16" s="238">
        <f t="shared" ref="GHK16" si="2471">GHK11*0.0425</f>
        <v>0</v>
      </c>
      <c r="GHM16" s="238">
        <f t="shared" ref="GHM16" si="2472">GHM11*0.0425</f>
        <v>0</v>
      </c>
      <c r="GHO16" s="238">
        <f t="shared" ref="GHO16" si="2473">GHO11*0.0425</f>
        <v>0</v>
      </c>
      <c r="GHQ16" s="238">
        <f t="shared" ref="GHQ16" si="2474">GHQ11*0.0425</f>
        <v>0</v>
      </c>
      <c r="GHS16" s="238">
        <f t="shared" ref="GHS16" si="2475">GHS11*0.0425</f>
        <v>0</v>
      </c>
      <c r="GHU16" s="238">
        <f t="shared" ref="GHU16" si="2476">GHU11*0.0425</f>
        <v>0</v>
      </c>
      <c r="GHW16" s="238">
        <f t="shared" ref="GHW16" si="2477">GHW11*0.0425</f>
        <v>0</v>
      </c>
      <c r="GHY16" s="238">
        <f t="shared" ref="GHY16" si="2478">GHY11*0.0425</f>
        <v>0</v>
      </c>
      <c r="GIA16" s="238">
        <f t="shared" ref="GIA16" si="2479">GIA11*0.0425</f>
        <v>0</v>
      </c>
      <c r="GIC16" s="238">
        <f t="shared" ref="GIC16" si="2480">GIC11*0.0425</f>
        <v>0</v>
      </c>
      <c r="GIE16" s="238">
        <f t="shared" ref="GIE16" si="2481">GIE11*0.0425</f>
        <v>0</v>
      </c>
      <c r="GIG16" s="238">
        <f t="shared" ref="GIG16" si="2482">GIG11*0.0425</f>
        <v>0</v>
      </c>
      <c r="GII16" s="238">
        <f t="shared" ref="GII16" si="2483">GII11*0.0425</f>
        <v>0</v>
      </c>
      <c r="GIK16" s="238">
        <f t="shared" ref="GIK16" si="2484">GIK11*0.0425</f>
        <v>0</v>
      </c>
      <c r="GIM16" s="238">
        <f t="shared" ref="GIM16" si="2485">GIM11*0.0425</f>
        <v>0</v>
      </c>
      <c r="GIO16" s="238">
        <f t="shared" ref="GIO16" si="2486">GIO11*0.0425</f>
        <v>0</v>
      </c>
      <c r="GIQ16" s="238">
        <f t="shared" ref="GIQ16" si="2487">GIQ11*0.0425</f>
        <v>0</v>
      </c>
      <c r="GIS16" s="238">
        <f t="shared" ref="GIS16" si="2488">GIS11*0.0425</f>
        <v>0</v>
      </c>
      <c r="GIU16" s="238">
        <f t="shared" ref="GIU16" si="2489">GIU11*0.0425</f>
        <v>0</v>
      </c>
      <c r="GIW16" s="238">
        <f t="shared" ref="GIW16" si="2490">GIW11*0.0425</f>
        <v>0</v>
      </c>
      <c r="GIY16" s="238">
        <f t="shared" ref="GIY16" si="2491">GIY11*0.0425</f>
        <v>0</v>
      </c>
      <c r="GJA16" s="238">
        <f t="shared" ref="GJA16" si="2492">GJA11*0.0425</f>
        <v>0</v>
      </c>
      <c r="GJC16" s="238">
        <f t="shared" ref="GJC16" si="2493">GJC11*0.0425</f>
        <v>0</v>
      </c>
      <c r="GJE16" s="238">
        <f t="shared" ref="GJE16" si="2494">GJE11*0.0425</f>
        <v>0</v>
      </c>
      <c r="GJG16" s="238">
        <f t="shared" ref="GJG16" si="2495">GJG11*0.0425</f>
        <v>0</v>
      </c>
      <c r="GJI16" s="238">
        <f t="shared" ref="GJI16" si="2496">GJI11*0.0425</f>
        <v>0</v>
      </c>
      <c r="GJK16" s="238">
        <f t="shared" ref="GJK16" si="2497">GJK11*0.0425</f>
        <v>0</v>
      </c>
      <c r="GJM16" s="238">
        <f t="shared" ref="GJM16" si="2498">GJM11*0.0425</f>
        <v>0</v>
      </c>
      <c r="GJO16" s="238">
        <f t="shared" ref="GJO16" si="2499">GJO11*0.0425</f>
        <v>0</v>
      </c>
      <c r="GJQ16" s="238">
        <f t="shared" ref="GJQ16" si="2500">GJQ11*0.0425</f>
        <v>0</v>
      </c>
      <c r="GJS16" s="238">
        <f t="shared" ref="GJS16" si="2501">GJS11*0.0425</f>
        <v>0</v>
      </c>
      <c r="GJU16" s="238">
        <f t="shared" ref="GJU16" si="2502">GJU11*0.0425</f>
        <v>0</v>
      </c>
      <c r="GJW16" s="238">
        <f t="shared" ref="GJW16" si="2503">GJW11*0.0425</f>
        <v>0</v>
      </c>
      <c r="GJY16" s="238">
        <f t="shared" ref="GJY16" si="2504">GJY11*0.0425</f>
        <v>0</v>
      </c>
      <c r="GKA16" s="238">
        <f t="shared" ref="GKA16" si="2505">GKA11*0.0425</f>
        <v>0</v>
      </c>
      <c r="GKC16" s="238">
        <f t="shared" ref="GKC16" si="2506">GKC11*0.0425</f>
        <v>0</v>
      </c>
      <c r="GKE16" s="238">
        <f t="shared" ref="GKE16" si="2507">GKE11*0.0425</f>
        <v>0</v>
      </c>
      <c r="GKG16" s="238">
        <f t="shared" ref="GKG16" si="2508">GKG11*0.0425</f>
        <v>0</v>
      </c>
      <c r="GKI16" s="238">
        <f t="shared" ref="GKI16" si="2509">GKI11*0.0425</f>
        <v>0</v>
      </c>
      <c r="GKK16" s="238">
        <f t="shared" ref="GKK16" si="2510">GKK11*0.0425</f>
        <v>0</v>
      </c>
      <c r="GKM16" s="238">
        <f t="shared" ref="GKM16" si="2511">GKM11*0.0425</f>
        <v>0</v>
      </c>
      <c r="GKO16" s="238">
        <f t="shared" ref="GKO16" si="2512">GKO11*0.0425</f>
        <v>0</v>
      </c>
      <c r="GKQ16" s="238">
        <f t="shared" ref="GKQ16" si="2513">GKQ11*0.0425</f>
        <v>0</v>
      </c>
      <c r="GKS16" s="238">
        <f t="shared" ref="GKS16" si="2514">GKS11*0.0425</f>
        <v>0</v>
      </c>
      <c r="GKU16" s="238">
        <f t="shared" ref="GKU16" si="2515">GKU11*0.0425</f>
        <v>0</v>
      </c>
      <c r="GKW16" s="238">
        <f t="shared" ref="GKW16" si="2516">GKW11*0.0425</f>
        <v>0</v>
      </c>
      <c r="GKY16" s="238">
        <f t="shared" ref="GKY16" si="2517">GKY11*0.0425</f>
        <v>0</v>
      </c>
      <c r="GLA16" s="238">
        <f t="shared" ref="GLA16" si="2518">GLA11*0.0425</f>
        <v>0</v>
      </c>
      <c r="GLC16" s="238">
        <f t="shared" ref="GLC16" si="2519">GLC11*0.0425</f>
        <v>0</v>
      </c>
      <c r="GLE16" s="238">
        <f t="shared" ref="GLE16" si="2520">GLE11*0.0425</f>
        <v>0</v>
      </c>
      <c r="GLG16" s="238">
        <f t="shared" ref="GLG16" si="2521">GLG11*0.0425</f>
        <v>0</v>
      </c>
      <c r="GLI16" s="238">
        <f t="shared" ref="GLI16" si="2522">GLI11*0.0425</f>
        <v>0</v>
      </c>
      <c r="GLK16" s="238">
        <f t="shared" ref="GLK16" si="2523">GLK11*0.0425</f>
        <v>0</v>
      </c>
      <c r="GLM16" s="238">
        <f t="shared" ref="GLM16" si="2524">GLM11*0.0425</f>
        <v>0</v>
      </c>
      <c r="GLO16" s="238">
        <f t="shared" ref="GLO16" si="2525">GLO11*0.0425</f>
        <v>0</v>
      </c>
      <c r="GLQ16" s="238">
        <f t="shared" ref="GLQ16" si="2526">GLQ11*0.0425</f>
        <v>0</v>
      </c>
      <c r="GLS16" s="238">
        <f t="shared" ref="GLS16" si="2527">GLS11*0.0425</f>
        <v>0</v>
      </c>
      <c r="GLU16" s="238">
        <f t="shared" ref="GLU16" si="2528">GLU11*0.0425</f>
        <v>0</v>
      </c>
      <c r="GLW16" s="238">
        <f t="shared" ref="GLW16" si="2529">GLW11*0.0425</f>
        <v>0</v>
      </c>
      <c r="GLY16" s="238">
        <f t="shared" ref="GLY16" si="2530">GLY11*0.0425</f>
        <v>0</v>
      </c>
      <c r="GMA16" s="238">
        <f t="shared" ref="GMA16" si="2531">GMA11*0.0425</f>
        <v>0</v>
      </c>
      <c r="GMC16" s="238">
        <f t="shared" ref="GMC16" si="2532">GMC11*0.0425</f>
        <v>0</v>
      </c>
      <c r="GME16" s="238">
        <f t="shared" ref="GME16" si="2533">GME11*0.0425</f>
        <v>0</v>
      </c>
      <c r="GMG16" s="238">
        <f t="shared" ref="GMG16" si="2534">GMG11*0.0425</f>
        <v>0</v>
      </c>
      <c r="GMI16" s="238">
        <f t="shared" ref="GMI16" si="2535">GMI11*0.0425</f>
        <v>0</v>
      </c>
      <c r="GMK16" s="238">
        <f t="shared" ref="GMK16" si="2536">GMK11*0.0425</f>
        <v>0</v>
      </c>
      <c r="GMM16" s="238">
        <f t="shared" ref="GMM16" si="2537">GMM11*0.0425</f>
        <v>0</v>
      </c>
      <c r="GMO16" s="238">
        <f t="shared" ref="GMO16" si="2538">GMO11*0.0425</f>
        <v>0</v>
      </c>
      <c r="GMQ16" s="238">
        <f t="shared" ref="GMQ16" si="2539">GMQ11*0.0425</f>
        <v>0</v>
      </c>
      <c r="GMS16" s="238">
        <f t="shared" ref="GMS16" si="2540">GMS11*0.0425</f>
        <v>0</v>
      </c>
      <c r="GMU16" s="238">
        <f t="shared" ref="GMU16" si="2541">GMU11*0.0425</f>
        <v>0</v>
      </c>
      <c r="GMW16" s="238">
        <f t="shared" ref="GMW16" si="2542">GMW11*0.0425</f>
        <v>0</v>
      </c>
      <c r="GMY16" s="238">
        <f t="shared" ref="GMY16" si="2543">GMY11*0.0425</f>
        <v>0</v>
      </c>
      <c r="GNA16" s="238">
        <f t="shared" ref="GNA16" si="2544">GNA11*0.0425</f>
        <v>0</v>
      </c>
      <c r="GNC16" s="238">
        <f t="shared" ref="GNC16" si="2545">GNC11*0.0425</f>
        <v>0</v>
      </c>
      <c r="GNE16" s="238">
        <f t="shared" ref="GNE16" si="2546">GNE11*0.0425</f>
        <v>0</v>
      </c>
      <c r="GNG16" s="238">
        <f t="shared" ref="GNG16" si="2547">GNG11*0.0425</f>
        <v>0</v>
      </c>
      <c r="GNI16" s="238">
        <f t="shared" ref="GNI16" si="2548">GNI11*0.0425</f>
        <v>0</v>
      </c>
      <c r="GNK16" s="238">
        <f t="shared" ref="GNK16" si="2549">GNK11*0.0425</f>
        <v>0</v>
      </c>
      <c r="GNM16" s="238">
        <f t="shared" ref="GNM16" si="2550">GNM11*0.0425</f>
        <v>0</v>
      </c>
      <c r="GNO16" s="238">
        <f t="shared" ref="GNO16" si="2551">GNO11*0.0425</f>
        <v>0</v>
      </c>
      <c r="GNQ16" s="238">
        <f t="shared" ref="GNQ16" si="2552">GNQ11*0.0425</f>
        <v>0</v>
      </c>
      <c r="GNS16" s="238">
        <f t="shared" ref="GNS16" si="2553">GNS11*0.0425</f>
        <v>0</v>
      </c>
      <c r="GNU16" s="238">
        <f t="shared" ref="GNU16" si="2554">GNU11*0.0425</f>
        <v>0</v>
      </c>
      <c r="GNW16" s="238">
        <f t="shared" ref="GNW16" si="2555">GNW11*0.0425</f>
        <v>0</v>
      </c>
      <c r="GNY16" s="238">
        <f t="shared" ref="GNY16" si="2556">GNY11*0.0425</f>
        <v>0</v>
      </c>
      <c r="GOA16" s="238">
        <f t="shared" ref="GOA16" si="2557">GOA11*0.0425</f>
        <v>0</v>
      </c>
      <c r="GOC16" s="238">
        <f t="shared" ref="GOC16" si="2558">GOC11*0.0425</f>
        <v>0</v>
      </c>
      <c r="GOE16" s="238">
        <f t="shared" ref="GOE16" si="2559">GOE11*0.0425</f>
        <v>0</v>
      </c>
      <c r="GOG16" s="238">
        <f t="shared" ref="GOG16" si="2560">GOG11*0.0425</f>
        <v>0</v>
      </c>
      <c r="GOI16" s="238">
        <f t="shared" ref="GOI16" si="2561">GOI11*0.0425</f>
        <v>0</v>
      </c>
      <c r="GOK16" s="238">
        <f t="shared" ref="GOK16" si="2562">GOK11*0.0425</f>
        <v>0</v>
      </c>
      <c r="GOM16" s="238">
        <f t="shared" ref="GOM16" si="2563">GOM11*0.0425</f>
        <v>0</v>
      </c>
      <c r="GOO16" s="238">
        <f t="shared" ref="GOO16" si="2564">GOO11*0.0425</f>
        <v>0</v>
      </c>
      <c r="GOQ16" s="238">
        <f t="shared" ref="GOQ16" si="2565">GOQ11*0.0425</f>
        <v>0</v>
      </c>
      <c r="GOS16" s="238">
        <f t="shared" ref="GOS16" si="2566">GOS11*0.0425</f>
        <v>0</v>
      </c>
      <c r="GOU16" s="238">
        <f t="shared" ref="GOU16" si="2567">GOU11*0.0425</f>
        <v>0</v>
      </c>
      <c r="GOW16" s="238">
        <f t="shared" ref="GOW16" si="2568">GOW11*0.0425</f>
        <v>0</v>
      </c>
      <c r="GOY16" s="238">
        <f t="shared" ref="GOY16" si="2569">GOY11*0.0425</f>
        <v>0</v>
      </c>
      <c r="GPA16" s="238">
        <f t="shared" ref="GPA16" si="2570">GPA11*0.0425</f>
        <v>0</v>
      </c>
      <c r="GPC16" s="238">
        <f t="shared" ref="GPC16" si="2571">GPC11*0.0425</f>
        <v>0</v>
      </c>
      <c r="GPE16" s="238">
        <f t="shared" ref="GPE16" si="2572">GPE11*0.0425</f>
        <v>0</v>
      </c>
      <c r="GPG16" s="238">
        <f t="shared" ref="GPG16" si="2573">GPG11*0.0425</f>
        <v>0</v>
      </c>
      <c r="GPI16" s="238">
        <f t="shared" ref="GPI16" si="2574">GPI11*0.0425</f>
        <v>0</v>
      </c>
      <c r="GPK16" s="238">
        <f t="shared" ref="GPK16" si="2575">GPK11*0.0425</f>
        <v>0</v>
      </c>
      <c r="GPM16" s="238">
        <f t="shared" ref="GPM16" si="2576">GPM11*0.0425</f>
        <v>0</v>
      </c>
      <c r="GPO16" s="238">
        <f t="shared" ref="GPO16" si="2577">GPO11*0.0425</f>
        <v>0</v>
      </c>
      <c r="GPQ16" s="238">
        <f t="shared" ref="GPQ16" si="2578">GPQ11*0.0425</f>
        <v>0</v>
      </c>
      <c r="GPS16" s="238">
        <f t="shared" ref="GPS16" si="2579">GPS11*0.0425</f>
        <v>0</v>
      </c>
      <c r="GPU16" s="238">
        <f t="shared" ref="GPU16" si="2580">GPU11*0.0425</f>
        <v>0</v>
      </c>
      <c r="GPW16" s="238">
        <f t="shared" ref="GPW16" si="2581">GPW11*0.0425</f>
        <v>0</v>
      </c>
      <c r="GPY16" s="238">
        <f t="shared" ref="GPY16" si="2582">GPY11*0.0425</f>
        <v>0</v>
      </c>
      <c r="GQA16" s="238">
        <f t="shared" ref="GQA16" si="2583">GQA11*0.0425</f>
        <v>0</v>
      </c>
      <c r="GQC16" s="238">
        <f t="shared" ref="GQC16" si="2584">GQC11*0.0425</f>
        <v>0</v>
      </c>
      <c r="GQE16" s="238">
        <f t="shared" ref="GQE16" si="2585">GQE11*0.0425</f>
        <v>0</v>
      </c>
      <c r="GQG16" s="238">
        <f t="shared" ref="GQG16" si="2586">GQG11*0.0425</f>
        <v>0</v>
      </c>
      <c r="GQI16" s="238">
        <f t="shared" ref="GQI16" si="2587">GQI11*0.0425</f>
        <v>0</v>
      </c>
      <c r="GQK16" s="238">
        <f t="shared" ref="GQK16" si="2588">GQK11*0.0425</f>
        <v>0</v>
      </c>
      <c r="GQM16" s="238">
        <f t="shared" ref="GQM16" si="2589">GQM11*0.0425</f>
        <v>0</v>
      </c>
      <c r="GQO16" s="238">
        <f t="shared" ref="GQO16" si="2590">GQO11*0.0425</f>
        <v>0</v>
      </c>
      <c r="GQQ16" s="238">
        <f t="shared" ref="GQQ16" si="2591">GQQ11*0.0425</f>
        <v>0</v>
      </c>
      <c r="GQS16" s="238">
        <f t="shared" ref="GQS16" si="2592">GQS11*0.0425</f>
        <v>0</v>
      </c>
      <c r="GQU16" s="238">
        <f t="shared" ref="GQU16" si="2593">GQU11*0.0425</f>
        <v>0</v>
      </c>
      <c r="GQW16" s="238">
        <f t="shared" ref="GQW16" si="2594">GQW11*0.0425</f>
        <v>0</v>
      </c>
      <c r="GQY16" s="238">
        <f t="shared" ref="GQY16" si="2595">GQY11*0.0425</f>
        <v>0</v>
      </c>
      <c r="GRA16" s="238">
        <f t="shared" ref="GRA16" si="2596">GRA11*0.0425</f>
        <v>0</v>
      </c>
      <c r="GRC16" s="238">
        <f t="shared" ref="GRC16" si="2597">GRC11*0.0425</f>
        <v>0</v>
      </c>
      <c r="GRE16" s="238">
        <f t="shared" ref="GRE16" si="2598">GRE11*0.0425</f>
        <v>0</v>
      </c>
      <c r="GRG16" s="238">
        <f t="shared" ref="GRG16" si="2599">GRG11*0.0425</f>
        <v>0</v>
      </c>
      <c r="GRI16" s="238">
        <f t="shared" ref="GRI16" si="2600">GRI11*0.0425</f>
        <v>0</v>
      </c>
      <c r="GRK16" s="238">
        <f t="shared" ref="GRK16" si="2601">GRK11*0.0425</f>
        <v>0</v>
      </c>
      <c r="GRM16" s="238">
        <f t="shared" ref="GRM16" si="2602">GRM11*0.0425</f>
        <v>0</v>
      </c>
      <c r="GRO16" s="238">
        <f t="shared" ref="GRO16" si="2603">GRO11*0.0425</f>
        <v>0</v>
      </c>
      <c r="GRQ16" s="238">
        <f t="shared" ref="GRQ16" si="2604">GRQ11*0.0425</f>
        <v>0</v>
      </c>
      <c r="GRS16" s="238">
        <f t="shared" ref="GRS16" si="2605">GRS11*0.0425</f>
        <v>0</v>
      </c>
      <c r="GRU16" s="238">
        <f t="shared" ref="GRU16" si="2606">GRU11*0.0425</f>
        <v>0</v>
      </c>
      <c r="GRW16" s="238">
        <f t="shared" ref="GRW16" si="2607">GRW11*0.0425</f>
        <v>0</v>
      </c>
      <c r="GRY16" s="238">
        <f t="shared" ref="GRY16" si="2608">GRY11*0.0425</f>
        <v>0</v>
      </c>
      <c r="GSA16" s="238">
        <f t="shared" ref="GSA16" si="2609">GSA11*0.0425</f>
        <v>0</v>
      </c>
      <c r="GSC16" s="238">
        <f t="shared" ref="GSC16" si="2610">GSC11*0.0425</f>
        <v>0</v>
      </c>
      <c r="GSE16" s="238">
        <f t="shared" ref="GSE16" si="2611">GSE11*0.0425</f>
        <v>0</v>
      </c>
      <c r="GSG16" s="238">
        <f t="shared" ref="GSG16" si="2612">GSG11*0.0425</f>
        <v>0</v>
      </c>
      <c r="GSI16" s="238">
        <f t="shared" ref="GSI16" si="2613">GSI11*0.0425</f>
        <v>0</v>
      </c>
      <c r="GSK16" s="238">
        <f t="shared" ref="GSK16" si="2614">GSK11*0.0425</f>
        <v>0</v>
      </c>
      <c r="GSM16" s="238">
        <f t="shared" ref="GSM16" si="2615">GSM11*0.0425</f>
        <v>0</v>
      </c>
      <c r="GSO16" s="238">
        <f t="shared" ref="GSO16" si="2616">GSO11*0.0425</f>
        <v>0</v>
      </c>
      <c r="GSQ16" s="238">
        <f t="shared" ref="GSQ16" si="2617">GSQ11*0.0425</f>
        <v>0</v>
      </c>
      <c r="GSS16" s="238">
        <f t="shared" ref="GSS16" si="2618">GSS11*0.0425</f>
        <v>0</v>
      </c>
      <c r="GSU16" s="238">
        <f t="shared" ref="GSU16" si="2619">GSU11*0.0425</f>
        <v>0</v>
      </c>
      <c r="GSW16" s="238">
        <f t="shared" ref="GSW16" si="2620">GSW11*0.0425</f>
        <v>0</v>
      </c>
      <c r="GSY16" s="238">
        <f t="shared" ref="GSY16" si="2621">GSY11*0.0425</f>
        <v>0</v>
      </c>
      <c r="GTA16" s="238">
        <f t="shared" ref="GTA16" si="2622">GTA11*0.0425</f>
        <v>0</v>
      </c>
      <c r="GTC16" s="238">
        <f t="shared" ref="GTC16" si="2623">GTC11*0.0425</f>
        <v>0</v>
      </c>
      <c r="GTE16" s="238">
        <f t="shared" ref="GTE16" si="2624">GTE11*0.0425</f>
        <v>0</v>
      </c>
      <c r="GTG16" s="238">
        <f t="shared" ref="GTG16" si="2625">GTG11*0.0425</f>
        <v>0</v>
      </c>
      <c r="GTI16" s="238">
        <f t="shared" ref="GTI16" si="2626">GTI11*0.0425</f>
        <v>0</v>
      </c>
      <c r="GTK16" s="238">
        <f t="shared" ref="GTK16" si="2627">GTK11*0.0425</f>
        <v>0</v>
      </c>
      <c r="GTM16" s="238">
        <f t="shared" ref="GTM16" si="2628">GTM11*0.0425</f>
        <v>0</v>
      </c>
      <c r="GTO16" s="238">
        <f t="shared" ref="GTO16" si="2629">GTO11*0.0425</f>
        <v>0</v>
      </c>
      <c r="GTQ16" s="238">
        <f t="shared" ref="GTQ16" si="2630">GTQ11*0.0425</f>
        <v>0</v>
      </c>
      <c r="GTS16" s="238">
        <f t="shared" ref="GTS16" si="2631">GTS11*0.0425</f>
        <v>0</v>
      </c>
      <c r="GTU16" s="238">
        <f t="shared" ref="GTU16" si="2632">GTU11*0.0425</f>
        <v>0</v>
      </c>
      <c r="GTW16" s="238">
        <f t="shared" ref="GTW16" si="2633">GTW11*0.0425</f>
        <v>0</v>
      </c>
      <c r="GTY16" s="238">
        <f t="shared" ref="GTY16" si="2634">GTY11*0.0425</f>
        <v>0</v>
      </c>
      <c r="GUA16" s="238">
        <f t="shared" ref="GUA16" si="2635">GUA11*0.0425</f>
        <v>0</v>
      </c>
      <c r="GUC16" s="238">
        <f t="shared" ref="GUC16" si="2636">GUC11*0.0425</f>
        <v>0</v>
      </c>
      <c r="GUE16" s="238">
        <f t="shared" ref="GUE16" si="2637">GUE11*0.0425</f>
        <v>0</v>
      </c>
      <c r="GUG16" s="238">
        <f t="shared" ref="GUG16" si="2638">GUG11*0.0425</f>
        <v>0</v>
      </c>
      <c r="GUI16" s="238">
        <f t="shared" ref="GUI16" si="2639">GUI11*0.0425</f>
        <v>0</v>
      </c>
      <c r="GUK16" s="238">
        <f t="shared" ref="GUK16" si="2640">GUK11*0.0425</f>
        <v>0</v>
      </c>
      <c r="GUM16" s="238">
        <f t="shared" ref="GUM16" si="2641">GUM11*0.0425</f>
        <v>0</v>
      </c>
      <c r="GUO16" s="238">
        <f t="shared" ref="GUO16" si="2642">GUO11*0.0425</f>
        <v>0</v>
      </c>
      <c r="GUQ16" s="238">
        <f t="shared" ref="GUQ16" si="2643">GUQ11*0.0425</f>
        <v>0</v>
      </c>
      <c r="GUS16" s="238">
        <f t="shared" ref="GUS16" si="2644">GUS11*0.0425</f>
        <v>0</v>
      </c>
      <c r="GUU16" s="238">
        <f t="shared" ref="GUU16" si="2645">GUU11*0.0425</f>
        <v>0</v>
      </c>
      <c r="GUW16" s="238">
        <f t="shared" ref="GUW16" si="2646">GUW11*0.0425</f>
        <v>0</v>
      </c>
      <c r="GUY16" s="238">
        <f t="shared" ref="GUY16" si="2647">GUY11*0.0425</f>
        <v>0</v>
      </c>
      <c r="GVA16" s="238">
        <f t="shared" ref="GVA16" si="2648">GVA11*0.0425</f>
        <v>0</v>
      </c>
      <c r="GVC16" s="238">
        <f t="shared" ref="GVC16" si="2649">GVC11*0.0425</f>
        <v>0</v>
      </c>
      <c r="GVE16" s="238">
        <f t="shared" ref="GVE16" si="2650">GVE11*0.0425</f>
        <v>0</v>
      </c>
      <c r="GVG16" s="238">
        <f t="shared" ref="GVG16" si="2651">GVG11*0.0425</f>
        <v>0</v>
      </c>
      <c r="GVI16" s="238">
        <f t="shared" ref="GVI16" si="2652">GVI11*0.0425</f>
        <v>0</v>
      </c>
      <c r="GVK16" s="238">
        <f t="shared" ref="GVK16" si="2653">GVK11*0.0425</f>
        <v>0</v>
      </c>
      <c r="GVM16" s="238">
        <f t="shared" ref="GVM16" si="2654">GVM11*0.0425</f>
        <v>0</v>
      </c>
      <c r="GVO16" s="238">
        <f t="shared" ref="GVO16" si="2655">GVO11*0.0425</f>
        <v>0</v>
      </c>
      <c r="GVQ16" s="238">
        <f t="shared" ref="GVQ16" si="2656">GVQ11*0.0425</f>
        <v>0</v>
      </c>
      <c r="GVS16" s="238">
        <f t="shared" ref="GVS16" si="2657">GVS11*0.0425</f>
        <v>0</v>
      </c>
      <c r="GVU16" s="238">
        <f t="shared" ref="GVU16" si="2658">GVU11*0.0425</f>
        <v>0</v>
      </c>
      <c r="GVW16" s="238">
        <f t="shared" ref="GVW16" si="2659">GVW11*0.0425</f>
        <v>0</v>
      </c>
      <c r="GVY16" s="238">
        <f t="shared" ref="GVY16" si="2660">GVY11*0.0425</f>
        <v>0</v>
      </c>
      <c r="GWA16" s="238">
        <f t="shared" ref="GWA16" si="2661">GWA11*0.0425</f>
        <v>0</v>
      </c>
      <c r="GWC16" s="238">
        <f t="shared" ref="GWC16" si="2662">GWC11*0.0425</f>
        <v>0</v>
      </c>
      <c r="GWE16" s="238">
        <f t="shared" ref="GWE16" si="2663">GWE11*0.0425</f>
        <v>0</v>
      </c>
      <c r="GWG16" s="238">
        <f t="shared" ref="GWG16" si="2664">GWG11*0.0425</f>
        <v>0</v>
      </c>
      <c r="GWI16" s="238">
        <f t="shared" ref="GWI16" si="2665">GWI11*0.0425</f>
        <v>0</v>
      </c>
      <c r="GWK16" s="238">
        <f t="shared" ref="GWK16" si="2666">GWK11*0.0425</f>
        <v>0</v>
      </c>
      <c r="GWM16" s="238">
        <f t="shared" ref="GWM16" si="2667">GWM11*0.0425</f>
        <v>0</v>
      </c>
      <c r="GWO16" s="238">
        <f t="shared" ref="GWO16" si="2668">GWO11*0.0425</f>
        <v>0</v>
      </c>
      <c r="GWQ16" s="238">
        <f t="shared" ref="GWQ16" si="2669">GWQ11*0.0425</f>
        <v>0</v>
      </c>
      <c r="GWS16" s="238">
        <f t="shared" ref="GWS16" si="2670">GWS11*0.0425</f>
        <v>0</v>
      </c>
      <c r="GWU16" s="238">
        <f t="shared" ref="GWU16" si="2671">GWU11*0.0425</f>
        <v>0</v>
      </c>
      <c r="GWW16" s="238">
        <f t="shared" ref="GWW16" si="2672">GWW11*0.0425</f>
        <v>0</v>
      </c>
      <c r="GWY16" s="238">
        <f t="shared" ref="GWY16" si="2673">GWY11*0.0425</f>
        <v>0</v>
      </c>
      <c r="GXA16" s="238">
        <f t="shared" ref="GXA16" si="2674">GXA11*0.0425</f>
        <v>0</v>
      </c>
      <c r="GXC16" s="238">
        <f t="shared" ref="GXC16" si="2675">GXC11*0.0425</f>
        <v>0</v>
      </c>
      <c r="GXE16" s="238">
        <f t="shared" ref="GXE16" si="2676">GXE11*0.0425</f>
        <v>0</v>
      </c>
      <c r="GXG16" s="238">
        <f t="shared" ref="GXG16" si="2677">GXG11*0.0425</f>
        <v>0</v>
      </c>
      <c r="GXI16" s="238">
        <f t="shared" ref="GXI16" si="2678">GXI11*0.0425</f>
        <v>0</v>
      </c>
      <c r="GXK16" s="238">
        <f t="shared" ref="GXK16" si="2679">GXK11*0.0425</f>
        <v>0</v>
      </c>
      <c r="GXM16" s="238">
        <f t="shared" ref="GXM16" si="2680">GXM11*0.0425</f>
        <v>0</v>
      </c>
      <c r="GXO16" s="238">
        <f t="shared" ref="GXO16" si="2681">GXO11*0.0425</f>
        <v>0</v>
      </c>
      <c r="GXQ16" s="238">
        <f t="shared" ref="GXQ16" si="2682">GXQ11*0.0425</f>
        <v>0</v>
      </c>
      <c r="GXS16" s="238">
        <f t="shared" ref="GXS16" si="2683">GXS11*0.0425</f>
        <v>0</v>
      </c>
      <c r="GXU16" s="238">
        <f t="shared" ref="GXU16" si="2684">GXU11*0.0425</f>
        <v>0</v>
      </c>
      <c r="GXW16" s="238">
        <f t="shared" ref="GXW16" si="2685">GXW11*0.0425</f>
        <v>0</v>
      </c>
      <c r="GXY16" s="238">
        <f t="shared" ref="GXY16" si="2686">GXY11*0.0425</f>
        <v>0</v>
      </c>
      <c r="GYA16" s="238">
        <f t="shared" ref="GYA16" si="2687">GYA11*0.0425</f>
        <v>0</v>
      </c>
      <c r="GYC16" s="238">
        <f t="shared" ref="GYC16" si="2688">GYC11*0.0425</f>
        <v>0</v>
      </c>
      <c r="GYE16" s="238">
        <f t="shared" ref="GYE16" si="2689">GYE11*0.0425</f>
        <v>0</v>
      </c>
      <c r="GYG16" s="238">
        <f t="shared" ref="GYG16" si="2690">GYG11*0.0425</f>
        <v>0</v>
      </c>
      <c r="GYI16" s="238">
        <f t="shared" ref="GYI16" si="2691">GYI11*0.0425</f>
        <v>0</v>
      </c>
      <c r="GYK16" s="238">
        <f t="shared" ref="GYK16" si="2692">GYK11*0.0425</f>
        <v>0</v>
      </c>
      <c r="GYM16" s="238">
        <f t="shared" ref="GYM16" si="2693">GYM11*0.0425</f>
        <v>0</v>
      </c>
      <c r="GYO16" s="238">
        <f t="shared" ref="GYO16" si="2694">GYO11*0.0425</f>
        <v>0</v>
      </c>
      <c r="GYQ16" s="238">
        <f t="shared" ref="GYQ16" si="2695">GYQ11*0.0425</f>
        <v>0</v>
      </c>
      <c r="GYS16" s="238">
        <f t="shared" ref="GYS16" si="2696">GYS11*0.0425</f>
        <v>0</v>
      </c>
      <c r="GYU16" s="238">
        <f t="shared" ref="GYU16" si="2697">GYU11*0.0425</f>
        <v>0</v>
      </c>
      <c r="GYW16" s="238">
        <f t="shared" ref="GYW16" si="2698">GYW11*0.0425</f>
        <v>0</v>
      </c>
      <c r="GYY16" s="238">
        <f t="shared" ref="GYY16" si="2699">GYY11*0.0425</f>
        <v>0</v>
      </c>
      <c r="GZA16" s="238">
        <f t="shared" ref="GZA16" si="2700">GZA11*0.0425</f>
        <v>0</v>
      </c>
      <c r="GZC16" s="238">
        <f t="shared" ref="GZC16" si="2701">GZC11*0.0425</f>
        <v>0</v>
      </c>
      <c r="GZE16" s="238">
        <f t="shared" ref="GZE16" si="2702">GZE11*0.0425</f>
        <v>0</v>
      </c>
      <c r="GZG16" s="238">
        <f t="shared" ref="GZG16" si="2703">GZG11*0.0425</f>
        <v>0</v>
      </c>
      <c r="GZI16" s="238">
        <f t="shared" ref="GZI16" si="2704">GZI11*0.0425</f>
        <v>0</v>
      </c>
      <c r="GZK16" s="238">
        <f t="shared" ref="GZK16" si="2705">GZK11*0.0425</f>
        <v>0</v>
      </c>
      <c r="GZM16" s="238">
        <f t="shared" ref="GZM16" si="2706">GZM11*0.0425</f>
        <v>0</v>
      </c>
      <c r="GZO16" s="238">
        <f t="shared" ref="GZO16" si="2707">GZO11*0.0425</f>
        <v>0</v>
      </c>
      <c r="GZQ16" s="238">
        <f t="shared" ref="GZQ16" si="2708">GZQ11*0.0425</f>
        <v>0</v>
      </c>
      <c r="GZS16" s="238">
        <f t="shared" ref="GZS16" si="2709">GZS11*0.0425</f>
        <v>0</v>
      </c>
      <c r="GZU16" s="238">
        <f t="shared" ref="GZU16" si="2710">GZU11*0.0425</f>
        <v>0</v>
      </c>
      <c r="GZW16" s="238">
        <f t="shared" ref="GZW16" si="2711">GZW11*0.0425</f>
        <v>0</v>
      </c>
      <c r="GZY16" s="238">
        <f t="shared" ref="GZY16" si="2712">GZY11*0.0425</f>
        <v>0</v>
      </c>
      <c r="HAA16" s="238">
        <f t="shared" ref="HAA16" si="2713">HAA11*0.0425</f>
        <v>0</v>
      </c>
      <c r="HAC16" s="238">
        <f t="shared" ref="HAC16" si="2714">HAC11*0.0425</f>
        <v>0</v>
      </c>
      <c r="HAE16" s="238">
        <f t="shared" ref="HAE16" si="2715">HAE11*0.0425</f>
        <v>0</v>
      </c>
      <c r="HAG16" s="238">
        <f t="shared" ref="HAG16" si="2716">HAG11*0.0425</f>
        <v>0</v>
      </c>
      <c r="HAI16" s="238">
        <f t="shared" ref="HAI16" si="2717">HAI11*0.0425</f>
        <v>0</v>
      </c>
      <c r="HAK16" s="238">
        <f t="shared" ref="HAK16" si="2718">HAK11*0.0425</f>
        <v>0</v>
      </c>
      <c r="HAM16" s="238">
        <f t="shared" ref="HAM16" si="2719">HAM11*0.0425</f>
        <v>0</v>
      </c>
      <c r="HAO16" s="238">
        <f t="shared" ref="HAO16" si="2720">HAO11*0.0425</f>
        <v>0</v>
      </c>
      <c r="HAQ16" s="238">
        <f t="shared" ref="HAQ16" si="2721">HAQ11*0.0425</f>
        <v>0</v>
      </c>
      <c r="HAS16" s="238">
        <f t="shared" ref="HAS16" si="2722">HAS11*0.0425</f>
        <v>0</v>
      </c>
      <c r="HAU16" s="238">
        <f t="shared" ref="HAU16" si="2723">HAU11*0.0425</f>
        <v>0</v>
      </c>
      <c r="HAW16" s="238">
        <f t="shared" ref="HAW16" si="2724">HAW11*0.0425</f>
        <v>0</v>
      </c>
      <c r="HAY16" s="238">
        <f t="shared" ref="HAY16" si="2725">HAY11*0.0425</f>
        <v>0</v>
      </c>
      <c r="HBA16" s="238">
        <f t="shared" ref="HBA16" si="2726">HBA11*0.0425</f>
        <v>0</v>
      </c>
      <c r="HBC16" s="238">
        <f t="shared" ref="HBC16" si="2727">HBC11*0.0425</f>
        <v>0</v>
      </c>
      <c r="HBE16" s="238">
        <f t="shared" ref="HBE16" si="2728">HBE11*0.0425</f>
        <v>0</v>
      </c>
      <c r="HBG16" s="238">
        <f t="shared" ref="HBG16" si="2729">HBG11*0.0425</f>
        <v>0</v>
      </c>
      <c r="HBI16" s="238">
        <f t="shared" ref="HBI16" si="2730">HBI11*0.0425</f>
        <v>0</v>
      </c>
      <c r="HBK16" s="238">
        <f t="shared" ref="HBK16" si="2731">HBK11*0.0425</f>
        <v>0</v>
      </c>
      <c r="HBM16" s="238">
        <f t="shared" ref="HBM16" si="2732">HBM11*0.0425</f>
        <v>0</v>
      </c>
      <c r="HBO16" s="238">
        <f t="shared" ref="HBO16" si="2733">HBO11*0.0425</f>
        <v>0</v>
      </c>
      <c r="HBQ16" s="238">
        <f t="shared" ref="HBQ16" si="2734">HBQ11*0.0425</f>
        <v>0</v>
      </c>
      <c r="HBS16" s="238">
        <f t="shared" ref="HBS16" si="2735">HBS11*0.0425</f>
        <v>0</v>
      </c>
      <c r="HBU16" s="238">
        <f t="shared" ref="HBU16" si="2736">HBU11*0.0425</f>
        <v>0</v>
      </c>
      <c r="HBW16" s="238">
        <f t="shared" ref="HBW16" si="2737">HBW11*0.0425</f>
        <v>0</v>
      </c>
      <c r="HBY16" s="238">
        <f t="shared" ref="HBY16" si="2738">HBY11*0.0425</f>
        <v>0</v>
      </c>
      <c r="HCA16" s="238">
        <f t="shared" ref="HCA16" si="2739">HCA11*0.0425</f>
        <v>0</v>
      </c>
      <c r="HCC16" s="238">
        <f t="shared" ref="HCC16" si="2740">HCC11*0.0425</f>
        <v>0</v>
      </c>
      <c r="HCE16" s="238">
        <f t="shared" ref="HCE16" si="2741">HCE11*0.0425</f>
        <v>0</v>
      </c>
      <c r="HCG16" s="238">
        <f t="shared" ref="HCG16" si="2742">HCG11*0.0425</f>
        <v>0</v>
      </c>
      <c r="HCI16" s="238">
        <f t="shared" ref="HCI16" si="2743">HCI11*0.0425</f>
        <v>0</v>
      </c>
      <c r="HCK16" s="238">
        <f t="shared" ref="HCK16" si="2744">HCK11*0.0425</f>
        <v>0</v>
      </c>
      <c r="HCM16" s="238">
        <f t="shared" ref="HCM16" si="2745">HCM11*0.0425</f>
        <v>0</v>
      </c>
      <c r="HCO16" s="238">
        <f t="shared" ref="HCO16" si="2746">HCO11*0.0425</f>
        <v>0</v>
      </c>
      <c r="HCQ16" s="238">
        <f t="shared" ref="HCQ16" si="2747">HCQ11*0.0425</f>
        <v>0</v>
      </c>
      <c r="HCS16" s="238">
        <f t="shared" ref="HCS16" si="2748">HCS11*0.0425</f>
        <v>0</v>
      </c>
      <c r="HCU16" s="238">
        <f t="shared" ref="HCU16" si="2749">HCU11*0.0425</f>
        <v>0</v>
      </c>
      <c r="HCW16" s="238">
        <f t="shared" ref="HCW16" si="2750">HCW11*0.0425</f>
        <v>0</v>
      </c>
      <c r="HCY16" s="238">
        <f t="shared" ref="HCY16" si="2751">HCY11*0.0425</f>
        <v>0</v>
      </c>
      <c r="HDA16" s="238">
        <f t="shared" ref="HDA16" si="2752">HDA11*0.0425</f>
        <v>0</v>
      </c>
      <c r="HDC16" s="238">
        <f t="shared" ref="HDC16" si="2753">HDC11*0.0425</f>
        <v>0</v>
      </c>
      <c r="HDE16" s="238">
        <f t="shared" ref="HDE16" si="2754">HDE11*0.0425</f>
        <v>0</v>
      </c>
      <c r="HDG16" s="238">
        <f t="shared" ref="HDG16" si="2755">HDG11*0.0425</f>
        <v>0</v>
      </c>
      <c r="HDI16" s="238">
        <f t="shared" ref="HDI16" si="2756">HDI11*0.0425</f>
        <v>0</v>
      </c>
      <c r="HDK16" s="238">
        <f t="shared" ref="HDK16" si="2757">HDK11*0.0425</f>
        <v>0</v>
      </c>
      <c r="HDM16" s="238">
        <f t="shared" ref="HDM16" si="2758">HDM11*0.0425</f>
        <v>0</v>
      </c>
      <c r="HDO16" s="238">
        <f t="shared" ref="HDO16" si="2759">HDO11*0.0425</f>
        <v>0</v>
      </c>
      <c r="HDQ16" s="238">
        <f t="shared" ref="HDQ16" si="2760">HDQ11*0.0425</f>
        <v>0</v>
      </c>
      <c r="HDS16" s="238">
        <f t="shared" ref="HDS16" si="2761">HDS11*0.0425</f>
        <v>0</v>
      </c>
      <c r="HDU16" s="238">
        <f t="shared" ref="HDU16" si="2762">HDU11*0.0425</f>
        <v>0</v>
      </c>
      <c r="HDW16" s="238">
        <f t="shared" ref="HDW16" si="2763">HDW11*0.0425</f>
        <v>0</v>
      </c>
      <c r="HDY16" s="238">
        <f t="shared" ref="HDY16" si="2764">HDY11*0.0425</f>
        <v>0</v>
      </c>
      <c r="HEA16" s="238">
        <f t="shared" ref="HEA16" si="2765">HEA11*0.0425</f>
        <v>0</v>
      </c>
      <c r="HEC16" s="238">
        <f t="shared" ref="HEC16" si="2766">HEC11*0.0425</f>
        <v>0</v>
      </c>
      <c r="HEE16" s="238">
        <f t="shared" ref="HEE16" si="2767">HEE11*0.0425</f>
        <v>0</v>
      </c>
      <c r="HEG16" s="238">
        <f t="shared" ref="HEG16" si="2768">HEG11*0.0425</f>
        <v>0</v>
      </c>
      <c r="HEI16" s="238">
        <f t="shared" ref="HEI16" si="2769">HEI11*0.0425</f>
        <v>0</v>
      </c>
      <c r="HEK16" s="238">
        <f t="shared" ref="HEK16" si="2770">HEK11*0.0425</f>
        <v>0</v>
      </c>
      <c r="HEM16" s="238">
        <f t="shared" ref="HEM16" si="2771">HEM11*0.0425</f>
        <v>0</v>
      </c>
      <c r="HEO16" s="238">
        <f t="shared" ref="HEO16" si="2772">HEO11*0.0425</f>
        <v>0</v>
      </c>
      <c r="HEQ16" s="238">
        <f t="shared" ref="HEQ16" si="2773">HEQ11*0.0425</f>
        <v>0</v>
      </c>
      <c r="HES16" s="238">
        <f t="shared" ref="HES16" si="2774">HES11*0.0425</f>
        <v>0</v>
      </c>
      <c r="HEU16" s="238">
        <f t="shared" ref="HEU16" si="2775">HEU11*0.0425</f>
        <v>0</v>
      </c>
      <c r="HEW16" s="238">
        <f t="shared" ref="HEW16" si="2776">HEW11*0.0425</f>
        <v>0</v>
      </c>
      <c r="HEY16" s="238">
        <f t="shared" ref="HEY16" si="2777">HEY11*0.0425</f>
        <v>0</v>
      </c>
      <c r="HFA16" s="238">
        <f t="shared" ref="HFA16" si="2778">HFA11*0.0425</f>
        <v>0</v>
      </c>
      <c r="HFC16" s="238">
        <f t="shared" ref="HFC16" si="2779">HFC11*0.0425</f>
        <v>0</v>
      </c>
      <c r="HFE16" s="238">
        <f t="shared" ref="HFE16" si="2780">HFE11*0.0425</f>
        <v>0</v>
      </c>
      <c r="HFG16" s="238">
        <f t="shared" ref="HFG16" si="2781">HFG11*0.0425</f>
        <v>0</v>
      </c>
      <c r="HFI16" s="238">
        <f t="shared" ref="HFI16" si="2782">HFI11*0.0425</f>
        <v>0</v>
      </c>
      <c r="HFK16" s="238">
        <f t="shared" ref="HFK16" si="2783">HFK11*0.0425</f>
        <v>0</v>
      </c>
      <c r="HFM16" s="238">
        <f t="shared" ref="HFM16" si="2784">HFM11*0.0425</f>
        <v>0</v>
      </c>
      <c r="HFO16" s="238">
        <f t="shared" ref="HFO16" si="2785">HFO11*0.0425</f>
        <v>0</v>
      </c>
      <c r="HFQ16" s="238">
        <f t="shared" ref="HFQ16" si="2786">HFQ11*0.0425</f>
        <v>0</v>
      </c>
      <c r="HFS16" s="238">
        <f t="shared" ref="HFS16" si="2787">HFS11*0.0425</f>
        <v>0</v>
      </c>
      <c r="HFU16" s="238">
        <f t="shared" ref="HFU16" si="2788">HFU11*0.0425</f>
        <v>0</v>
      </c>
      <c r="HFW16" s="238">
        <f t="shared" ref="HFW16" si="2789">HFW11*0.0425</f>
        <v>0</v>
      </c>
      <c r="HFY16" s="238">
        <f t="shared" ref="HFY16" si="2790">HFY11*0.0425</f>
        <v>0</v>
      </c>
      <c r="HGA16" s="238">
        <f t="shared" ref="HGA16" si="2791">HGA11*0.0425</f>
        <v>0</v>
      </c>
      <c r="HGC16" s="238">
        <f t="shared" ref="HGC16" si="2792">HGC11*0.0425</f>
        <v>0</v>
      </c>
      <c r="HGE16" s="238">
        <f t="shared" ref="HGE16" si="2793">HGE11*0.0425</f>
        <v>0</v>
      </c>
      <c r="HGG16" s="238">
        <f t="shared" ref="HGG16" si="2794">HGG11*0.0425</f>
        <v>0</v>
      </c>
      <c r="HGI16" s="238">
        <f t="shared" ref="HGI16" si="2795">HGI11*0.0425</f>
        <v>0</v>
      </c>
      <c r="HGK16" s="238">
        <f t="shared" ref="HGK16" si="2796">HGK11*0.0425</f>
        <v>0</v>
      </c>
      <c r="HGM16" s="238">
        <f t="shared" ref="HGM16" si="2797">HGM11*0.0425</f>
        <v>0</v>
      </c>
      <c r="HGO16" s="238">
        <f t="shared" ref="HGO16" si="2798">HGO11*0.0425</f>
        <v>0</v>
      </c>
      <c r="HGQ16" s="238">
        <f t="shared" ref="HGQ16" si="2799">HGQ11*0.0425</f>
        <v>0</v>
      </c>
      <c r="HGS16" s="238">
        <f t="shared" ref="HGS16" si="2800">HGS11*0.0425</f>
        <v>0</v>
      </c>
      <c r="HGU16" s="238">
        <f t="shared" ref="HGU16" si="2801">HGU11*0.0425</f>
        <v>0</v>
      </c>
      <c r="HGW16" s="238">
        <f t="shared" ref="HGW16" si="2802">HGW11*0.0425</f>
        <v>0</v>
      </c>
      <c r="HGY16" s="238">
        <f t="shared" ref="HGY16" si="2803">HGY11*0.0425</f>
        <v>0</v>
      </c>
      <c r="HHA16" s="238">
        <f t="shared" ref="HHA16" si="2804">HHA11*0.0425</f>
        <v>0</v>
      </c>
      <c r="HHC16" s="238">
        <f t="shared" ref="HHC16" si="2805">HHC11*0.0425</f>
        <v>0</v>
      </c>
      <c r="HHE16" s="238">
        <f t="shared" ref="HHE16" si="2806">HHE11*0.0425</f>
        <v>0</v>
      </c>
      <c r="HHG16" s="238">
        <f t="shared" ref="HHG16" si="2807">HHG11*0.0425</f>
        <v>0</v>
      </c>
      <c r="HHI16" s="238">
        <f t="shared" ref="HHI16" si="2808">HHI11*0.0425</f>
        <v>0</v>
      </c>
      <c r="HHK16" s="238">
        <f t="shared" ref="HHK16" si="2809">HHK11*0.0425</f>
        <v>0</v>
      </c>
      <c r="HHM16" s="238">
        <f t="shared" ref="HHM16" si="2810">HHM11*0.0425</f>
        <v>0</v>
      </c>
      <c r="HHO16" s="238">
        <f t="shared" ref="HHO16" si="2811">HHO11*0.0425</f>
        <v>0</v>
      </c>
      <c r="HHQ16" s="238">
        <f t="shared" ref="HHQ16" si="2812">HHQ11*0.0425</f>
        <v>0</v>
      </c>
      <c r="HHS16" s="238">
        <f t="shared" ref="HHS16" si="2813">HHS11*0.0425</f>
        <v>0</v>
      </c>
      <c r="HHU16" s="238">
        <f t="shared" ref="HHU16" si="2814">HHU11*0.0425</f>
        <v>0</v>
      </c>
      <c r="HHW16" s="238">
        <f t="shared" ref="HHW16" si="2815">HHW11*0.0425</f>
        <v>0</v>
      </c>
      <c r="HHY16" s="238">
        <f t="shared" ref="HHY16" si="2816">HHY11*0.0425</f>
        <v>0</v>
      </c>
      <c r="HIA16" s="238">
        <f t="shared" ref="HIA16" si="2817">HIA11*0.0425</f>
        <v>0</v>
      </c>
      <c r="HIC16" s="238">
        <f t="shared" ref="HIC16" si="2818">HIC11*0.0425</f>
        <v>0</v>
      </c>
      <c r="HIE16" s="238">
        <f t="shared" ref="HIE16" si="2819">HIE11*0.0425</f>
        <v>0</v>
      </c>
      <c r="HIG16" s="238">
        <f t="shared" ref="HIG16" si="2820">HIG11*0.0425</f>
        <v>0</v>
      </c>
      <c r="HII16" s="238">
        <f t="shared" ref="HII16" si="2821">HII11*0.0425</f>
        <v>0</v>
      </c>
      <c r="HIK16" s="238">
        <f t="shared" ref="HIK16" si="2822">HIK11*0.0425</f>
        <v>0</v>
      </c>
      <c r="HIM16" s="238">
        <f t="shared" ref="HIM16" si="2823">HIM11*0.0425</f>
        <v>0</v>
      </c>
      <c r="HIO16" s="238">
        <f t="shared" ref="HIO16" si="2824">HIO11*0.0425</f>
        <v>0</v>
      </c>
      <c r="HIQ16" s="238">
        <f t="shared" ref="HIQ16" si="2825">HIQ11*0.0425</f>
        <v>0</v>
      </c>
      <c r="HIS16" s="238">
        <f t="shared" ref="HIS16" si="2826">HIS11*0.0425</f>
        <v>0</v>
      </c>
      <c r="HIU16" s="238">
        <f t="shared" ref="HIU16" si="2827">HIU11*0.0425</f>
        <v>0</v>
      </c>
      <c r="HIW16" s="238">
        <f t="shared" ref="HIW16" si="2828">HIW11*0.0425</f>
        <v>0</v>
      </c>
      <c r="HIY16" s="238">
        <f t="shared" ref="HIY16" si="2829">HIY11*0.0425</f>
        <v>0</v>
      </c>
      <c r="HJA16" s="238">
        <f t="shared" ref="HJA16" si="2830">HJA11*0.0425</f>
        <v>0</v>
      </c>
      <c r="HJC16" s="238">
        <f t="shared" ref="HJC16" si="2831">HJC11*0.0425</f>
        <v>0</v>
      </c>
      <c r="HJE16" s="238">
        <f t="shared" ref="HJE16" si="2832">HJE11*0.0425</f>
        <v>0</v>
      </c>
      <c r="HJG16" s="238">
        <f t="shared" ref="HJG16" si="2833">HJG11*0.0425</f>
        <v>0</v>
      </c>
      <c r="HJI16" s="238">
        <f t="shared" ref="HJI16" si="2834">HJI11*0.0425</f>
        <v>0</v>
      </c>
      <c r="HJK16" s="238">
        <f t="shared" ref="HJK16" si="2835">HJK11*0.0425</f>
        <v>0</v>
      </c>
      <c r="HJM16" s="238">
        <f t="shared" ref="HJM16" si="2836">HJM11*0.0425</f>
        <v>0</v>
      </c>
      <c r="HJO16" s="238">
        <f t="shared" ref="HJO16" si="2837">HJO11*0.0425</f>
        <v>0</v>
      </c>
      <c r="HJQ16" s="238">
        <f t="shared" ref="HJQ16" si="2838">HJQ11*0.0425</f>
        <v>0</v>
      </c>
      <c r="HJS16" s="238">
        <f t="shared" ref="HJS16" si="2839">HJS11*0.0425</f>
        <v>0</v>
      </c>
      <c r="HJU16" s="238">
        <f t="shared" ref="HJU16" si="2840">HJU11*0.0425</f>
        <v>0</v>
      </c>
      <c r="HJW16" s="238">
        <f t="shared" ref="HJW16" si="2841">HJW11*0.0425</f>
        <v>0</v>
      </c>
      <c r="HJY16" s="238">
        <f t="shared" ref="HJY16" si="2842">HJY11*0.0425</f>
        <v>0</v>
      </c>
      <c r="HKA16" s="238">
        <f t="shared" ref="HKA16" si="2843">HKA11*0.0425</f>
        <v>0</v>
      </c>
      <c r="HKC16" s="238">
        <f t="shared" ref="HKC16" si="2844">HKC11*0.0425</f>
        <v>0</v>
      </c>
      <c r="HKE16" s="238">
        <f t="shared" ref="HKE16" si="2845">HKE11*0.0425</f>
        <v>0</v>
      </c>
      <c r="HKG16" s="238">
        <f t="shared" ref="HKG16" si="2846">HKG11*0.0425</f>
        <v>0</v>
      </c>
      <c r="HKI16" s="238">
        <f t="shared" ref="HKI16" si="2847">HKI11*0.0425</f>
        <v>0</v>
      </c>
      <c r="HKK16" s="238">
        <f t="shared" ref="HKK16" si="2848">HKK11*0.0425</f>
        <v>0</v>
      </c>
      <c r="HKM16" s="238">
        <f t="shared" ref="HKM16" si="2849">HKM11*0.0425</f>
        <v>0</v>
      </c>
      <c r="HKO16" s="238">
        <f t="shared" ref="HKO16" si="2850">HKO11*0.0425</f>
        <v>0</v>
      </c>
      <c r="HKQ16" s="238">
        <f t="shared" ref="HKQ16" si="2851">HKQ11*0.0425</f>
        <v>0</v>
      </c>
      <c r="HKS16" s="238">
        <f t="shared" ref="HKS16" si="2852">HKS11*0.0425</f>
        <v>0</v>
      </c>
      <c r="HKU16" s="238">
        <f t="shared" ref="HKU16" si="2853">HKU11*0.0425</f>
        <v>0</v>
      </c>
      <c r="HKW16" s="238">
        <f t="shared" ref="HKW16" si="2854">HKW11*0.0425</f>
        <v>0</v>
      </c>
      <c r="HKY16" s="238">
        <f t="shared" ref="HKY16" si="2855">HKY11*0.0425</f>
        <v>0</v>
      </c>
      <c r="HLA16" s="238">
        <f t="shared" ref="HLA16" si="2856">HLA11*0.0425</f>
        <v>0</v>
      </c>
      <c r="HLC16" s="238">
        <f t="shared" ref="HLC16" si="2857">HLC11*0.0425</f>
        <v>0</v>
      </c>
      <c r="HLE16" s="238">
        <f t="shared" ref="HLE16" si="2858">HLE11*0.0425</f>
        <v>0</v>
      </c>
      <c r="HLG16" s="238">
        <f t="shared" ref="HLG16" si="2859">HLG11*0.0425</f>
        <v>0</v>
      </c>
      <c r="HLI16" s="238">
        <f t="shared" ref="HLI16" si="2860">HLI11*0.0425</f>
        <v>0</v>
      </c>
      <c r="HLK16" s="238">
        <f t="shared" ref="HLK16" si="2861">HLK11*0.0425</f>
        <v>0</v>
      </c>
      <c r="HLM16" s="238">
        <f t="shared" ref="HLM16" si="2862">HLM11*0.0425</f>
        <v>0</v>
      </c>
      <c r="HLO16" s="238">
        <f t="shared" ref="HLO16" si="2863">HLO11*0.0425</f>
        <v>0</v>
      </c>
      <c r="HLQ16" s="238">
        <f t="shared" ref="HLQ16" si="2864">HLQ11*0.0425</f>
        <v>0</v>
      </c>
      <c r="HLS16" s="238">
        <f t="shared" ref="HLS16" si="2865">HLS11*0.0425</f>
        <v>0</v>
      </c>
      <c r="HLU16" s="238">
        <f t="shared" ref="HLU16" si="2866">HLU11*0.0425</f>
        <v>0</v>
      </c>
      <c r="HLW16" s="238">
        <f t="shared" ref="HLW16" si="2867">HLW11*0.0425</f>
        <v>0</v>
      </c>
      <c r="HLY16" s="238">
        <f t="shared" ref="HLY16" si="2868">HLY11*0.0425</f>
        <v>0</v>
      </c>
      <c r="HMA16" s="238">
        <f t="shared" ref="HMA16" si="2869">HMA11*0.0425</f>
        <v>0</v>
      </c>
      <c r="HMC16" s="238">
        <f t="shared" ref="HMC16" si="2870">HMC11*0.0425</f>
        <v>0</v>
      </c>
      <c r="HME16" s="238">
        <f t="shared" ref="HME16" si="2871">HME11*0.0425</f>
        <v>0</v>
      </c>
      <c r="HMG16" s="238">
        <f t="shared" ref="HMG16" si="2872">HMG11*0.0425</f>
        <v>0</v>
      </c>
      <c r="HMI16" s="238">
        <f t="shared" ref="HMI16" si="2873">HMI11*0.0425</f>
        <v>0</v>
      </c>
      <c r="HMK16" s="238">
        <f t="shared" ref="HMK16" si="2874">HMK11*0.0425</f>
        <v>0</v>
      </c>
      <c r="HMM16" s="238">
        <f t="shared" ref="HMM16" si="2875">HMM11*0.0425</f>
        <v>0</v>
      </c>
      <c r="HMO16" s="238">
        <f t="shared" ref="HMO16" si="2876">HMO11*0.0425</f>
        <v>0</v>
      </c>
      <c r="HMQ16" s="238">
        <f t="shared" ref="HMQ16" si="2877">HMQ11*0.0425</f>
        <v>0</v>
      </c>
      <c r="HMS16" s="238">
        <f t="shared" ref="HMS16" si="2878">HMS11*0.0425</f>
        <v>0</v>
      </c>
      <c r="HMU16" s="238">
        <f t="shared" ref="HMU16" si="2879">HMU11*0.0425</f>
        <v>0</v>
      </c>
      <c r="HMW16" s="238">
        <f t="shared" ref="HMW16" si="2880">HMW11*0.0425</f>
        <v>0</v>
      </c>
      <c r="HMY16" s="238">
        <f t="shared" ref="HMY16" si="2881">HMY11*0.0425</f>
        <v>0</v>
      </c>
      <c r="HNA16" s="238">
        <f t="shared" ref="HNA16" si="2882">HNA11*0.0425</f>
        <v>0</v>
      </c>
      <c r="HNC16" s="238">
        <f t="shared" ref="HNC16" si="2883">HNC11*0.0425</f>
        <v>0</v>
      </c>
      <c r="HNE16" s="238">
        <f t="shared" ref="HNE16" si="2884">HNE11*0.0425</f>
        <v>0</v>
      </c>
      <c r="HNG16" s="238">
        <f t="shared" ref="HNG16" si="2885">HNG11*0.0425</f>
        <v>0</v>
      </c>
      <c r="HNI16" s="238">
        <f t="shared" ref="HNI16" si="2886">HNI11*0.0425</f>
        <v>0</v>
      </c>
      <c r="HNK16" s="238">
        <f t="shared" ref="HNK16" si="2887">HNK11*0.0425</f>
        <v>0</v>
      </c>
      <c r="HNM16" s="238">
        <f t="shared" ref="HNM16" si="2888">HNM11*0.0425</f>
        <v>0</v>
      </c>
      <c r="HNO16" s="238">
        <f t="shared" ref="HNO16" si="2889">HNO11*0.0425</f>
        <v>0</v>
      </c>
      <c r="HNQ16" s="238">
        <f t="shared" ref="HNQ16" si="2890">HNQ11*0.0425</f>
        <v>0</v>
      </c>
      <c r="HNS16" s="238">
        <f t="shared" ref="HNS16" si="2891">HNS11*0.0425</f>
        <v>0</v>
      </c>
      <c r="HNU16" s="238">
        <f t="shared" ref="HNU16" si="2892">HNU11*0.0425</f>
        <v>0</v>
      </c>
      <c r="HNW16" s="238">
        <f t="shared" ref="HNW16" si="2893">HNW11*0.0425</f>
        <v>0</v>
      </c>
      <c r="HNY16" s="238">
        <f t="shared" ref="HNY16" si="2894">HNY11*0.0425</f>
        <v>0</v>
      </c>
      <c r="HOA16" s="238">
        <f t="shared" ref="HOA16" si="2895">HOA11*0.0425</f>
        <v>0</v>
      </c>
      <c r="HOC16" s="238">
        <f t="shared" ref="HOC16" si="2896">HOC11*0.0425</f>
        <v>0</v>
      </c>
      <c r="HOE16" s="238">
        <f t="shared" ref="HOE16" si="2897">HOE11*0.0425</f>
        <v>0</v>
      </c>
      <c r="HOG16" s="238">
        <f t="shared" ref="HOG16" si="2898">HOG11*0.0425</f>
        <v>0</v>
      </c>
      <c r="HOI16" s="238">
        <f t="shared" ref="HOI16" si="2899">HOI11*0.0425</f>
        <v>0</v>
      </c>
      <c r="HOK16" s="238">
        <f t="shared" ref="HOK16" si="2900">HOK11*0.0425</f>
        <v>0</v>
      </c>
      <c r="HOM16" s="238">
        <f t="shared" ref="HOM16" si="2901">HOM11*0.0425</f>
        <v>0</v>
      </c>
      <c r="HOO16" s="238">
        <f t="shared" ref="HOO16" si="2902">HOO11*0.0425</f>
        <v>0</v>
      </c>
      <c r="HOQ16" s="238">
        <f t="shared" ref="HOQ16" si="2903">HOQ11*0.0425</f>
        <v>0</v>
      </c>
      <c r="HOS16" s="238">
        <f t="shared" ref="HOS16" si="2904">HOS11*0.0425</f>
        <v>0</v>
      </c>
      <c r="HOU16" s="238">
        <f t="shared" ref="HOU16" si="2905">HOU11*0.0425</f>
        <v>0</v>
      </c>
      <c r="HOW16" s="238">
        <f t="shared" ref="HOW16" si="2906">HOW11*0.0425</f>
        <v>0</v>
      </c>
      <c r="HOY16" s="238">
        <f t="shared" ref="HOY16" si="2907">HOY11*0.0425</f>
        <v>0</v>
      </c>
      <c r="HPA16" s="238">
        <f t="shared" ref="HPA16" si="2908">HPA11*0.0425</f>
        <v>0</v>
      </c>
      <c r="HPC16" s="238">
        <f t="shared" ref="HPC16" si="2909">HPC11*0.0425</f>
        <v>0</v>
      </c>
      <c r="HPE16" s="238">
        <f t="shared" ref="HPE16" si="2910">HPE11*0.0425</f>
        <v>0</v>
      </c>
      <c r="HPG16" s="238">
        <f t="shared" ref="HPG16" si="2911">HPG11*0.0425</f>
        <v>0</v>
      </c>
      <c r="HPI16" s="238">
        <f t="shared" ref="HPI16" si="2912">HPI11*0.0425</f>
        <v>0</v>
      </c>
      <c r="HPK16" s="238">
        <f t="shared" ref="HPK16" si="2913">HPK11*0.0425</f>
        <v>0</v>
      </c>
      <c r="HPM16" s="238">
        <f t="shared" ref="HPM16" si="2914">HPM11*0.0425</f>
        <v>0</v>
      </c>
      <c r="HPO16" s="238">
        <f t="shared" ref="HPO16" si="2915">HPO11*0.0425</f>
        <v>0</v>
      </c>
      <c r="HPQ16" s="238">
        <f t="shared" ref="HPQ16" si="2916">HPQ11*0.0425</f>
        <v>0</v>
      </c>
      <c r="HPS16" s="238">
        <f t="shared" ref="HPS16" si="2917">HPS11*0.0425</f>
        <v>0</v>
      </c>
      <c r="HPU16" s="238">
        <f t="shared" ref="HPU16" si="2918">HPU11*0.0425</f>
        <v>0</v>
      </c>
      <c r="HPW16" s="238">
        <f t="shared" ref="HPW16" si="2919">HPW11*0.0425</f>
        <v>0</v>
      </c>
      <c r="HPY16" s="238">
        <f t="shared" ref="HPY16" si="2920">HPY11*0.0425</f>
        <v>0</v>
      </c>
      <c r="HQA16" s="238">
        <f t="shared" ref="HQA16" si="2921">HQA11*0.0425</f>
        <v>0</v>
      </c>
      <c r="HQC16" s="238">
        <f t="shared" ref="HQC16" si="2922">HQC11*0.0425</f>
        <v>0</v>
      </c>
      <c r="HQE16" s="238">
        <f t="shared" ref="HQE16" si="2923">HQE11*0.0425</f>
        <v>0</v>
      </c>
      <c r="HQG16" s="238">
        <f t="shared" ref="HQG16" si="2924">HQG11*0.0425</f>
        <v>0</v>
      </c>
      <c r="HQI16" s="238">
        <f t="shared" ref="HQI16" si="2925">HQI11*0.0425</f>
        <v>0</v>
      </c>
      <c r="HQK16" s="238">
        <f t="shared" ref="HQK16" si="2926">HQK11*0.0425</f>
        <v>0</v>
      </c>
      <c r="HQM16" s="238">
        <f t="shared" ref="HQM16" si="2927">HQM11*0.0425</f>
        <v>0</v>
      </c>
      <c r="HQO16" s="238">
        <f t="shared" ref="HQO16" si="2928">HQO11*0.0425</f>
        <v>0</v>
      </c>
      <c r="HQQ16" s="238">
        <f t="shared" ref="HQQ16" si="2929">HQQ11*0.0425</f>
        <v>0</v>
      </c>
      <c r="HQS16" s="238">
        <f t="shared" ref="HQS16" si="2930">HQS11*0.0425</f>
        <v>0</v>
      </c>
      <c r="HQU16" s="238">
        <f t="shared" ref="HQU16" si="2931">HQU11*0.0425</f>
        <v>0</v>
      </c>
      <c r="HQW16" s="238">
        <f t="shared" ref="HQW16" si="2932">HQW11*0.0425</f>
        <v>0</v>
      </c>
      <c r="HQY16" s="238">
        <f t="shared" ref="HQY16" si="2933">HQY11*0.0425</f>
        <v>0</v>
      </c>
      <c r="HRA16" s="238">
        <f t="shared" ref="HRA16" si="2934">HRA11*0.0425</f>
        <v>0</v>
      </c>
      <c r="HRC16" s="238">
        <f t="shared" ref="HRC16" si="2935">HRC11*0.0425</f>
        <v>0</v>
      </c>
      <c r="HRE16" s="238">
        <f t="shared" ref="HRE16" si="2936">HRE11*0.0425</f>
        <v>0</v>
      </c>
      <c r="HRG16" s="238">
        <f t="shared" ref="HRG16" si="2937">HRG11*0.0425</f>
        <v>0</v>
      </c>
      <c r="HRI16" s="238">
        <f t="shared" ref="HRI16" si="2938">HRI11*0.0425</f>
        <v>0</v>
      </c>
      <c r="HRK16" s="238">
        <f t="shared" ref="HRK16" si="2939">HRK11*0.0425</f>
        <v>0</v>
      </c>
      <c r="HRM16" s="238">
        <f t="shared" ref="HRM16" si="2940">HRM11*0.0425</f>
        <v>0</v>
      </c>
      <c r="HRO16" s="238">
        <f t="shared" ref="HRO16" si="2941">HRO11*0.0425</f>
        <v>0</v>
      </c>
      <c r="HRQ16" s="238">
        <f t="shared" ref="HRQ16" si="2942">HRQ11*0.0425</f>
        <v>0</v>
      </c>
      <c r="HRS16" s="238">
        <f t="shared" ref="HRS16" si="2943">HRS11*0.0425</f>
        <v>0</v>
      </c>
      <c r="HRU16" s="238">
        <f t="shared" ref="HRU16" si="2944">HRU11*0.0425</f>
        <v>0</v>
      </c>
      <c r="HRW16" s="238">
        <f t="shared" ref="HRW16" si="2945">HRW11*0.0425</f>
        <v>0</v>
      </c>
      <c r="HRY16" s="238">
        <f t="shared" ref="HRY16" si="2946">HRY11*0.0425</f>
        <v>0</v>
      </c>
      <c r="HSA16" s="238">
        <f t="shared" ref="HSA16" si="2947">HSA11*0.0425</f>
        <v>0</v>
      </c>
      <c r="HSC16" s="238">
        <f t="shared" ref="HSC16" si="2948">HSC11*0.0425</f>
        <v>0</v>
      </c>
      <c r="HSE16" s="238">
        <f t="shared" ref="HSE16" si="2949">HSE11*0.0425</f>
        <v>0</v>
      </c>
      <c r="HSG16" s="238">
        <f t="shared" ref="HSG16" si="2950">HSG11*0.0425</f>
        <v>0</v>
      </c>
      <c r="HSI16" s="238">
        <f t="shared" ref="HSI16" si="2951">HSI11*0.0425</f>
        <v>0</v>
      </c>
      <c r="HSK16" s="238">
        <f t="shared" ref="HSK16" si="2952">HSK11*0.0425</f>
        <v>0</v>
      </c>
      <c r="HSM16" s="238">
        <f t="shared" ref="HSM16" si="2953">HSM11*0.0425</f>
        <v>0</v>
      </c>
      <c r="HSO16" s="238">
        <f t="shared" ref="HSO16" si="2954">HSO11*0.0425</f>
        <v>0</v>
      </c>
      <c r="HSQ16" s="238">
        <f t="shared" ref="HSQ16" si="2955">HSQ11*0.0425</f>
        <v>0</v>
      </c>
      <c r="HSS16" s="238">
        <f t="shared" ref="HSS16" si="2956">HSS11*0.0425</f>
        <v>0</v>
      </c>
      <c r="HSU16" s="238">
        <f t="shared" ref="HSU16" si="2957">HSU11*0.0425</f>
        <v>0</v>
      </c>
      <c r="HSW16" s="238">
        <f t="shared" ref="HSW16" si="2958">HSW11*0.0425</f>
        <v>0</v>
      </c>
      <c r="HSY16" s="238">
        <f t="shared" ref="HSY16" si="2959">HSY11*0.0425</f>
        <v>0</v>
      </c>
      <c r="HTA16" s="238">
        <f t="shared" ref="HTA16" si="2960">HTA11*0.0425</f>
        <v>0</v>
      </c>
      <c r="HTC16" s="238">
        <f t="shared" ref="HTC16" si="2961">HTC11*0.0425</f>
        <v>0</v>
      </c>
      <c r="HTE16" s="238">
        <f t="shared" ref="HTE16" si="2962">HTE11*0.0425</f>
        <v>0</v>
      </c>
      <c r="HTG16" s="238">
        <f t="shared" ref="HTG16" si="2963">HTG11*0.0425</f>
        <v>0</v>
      </c>
      <c r="HTI16" s="238">
        <f t="shared" ref="HTI16" si="2964">HTI11*0.0425</f>
        <v>0</v>
      </c>
      <c r="HTK16" s="238">
        <f t="shared" ref="HTK16" si="2965">HTK11*0.0425</f>
        <v>0</v>
      </c>
      <c r="HTM16" s="238">
        <f t="shared" ref="HTM16" si="2966">HTM11*0.0425</f>
        <v>0</v>
      </c>
      <c r="HTO16" s="238">
        <f t="shared" ref="HTO16" si="2967">HTO11*0.0425</f>
        <v>0</v>
      </c>
      <c r="HTQ16" s="238">
        <f t="shared" ref="HTQ16" si="2968">HTQ11*0.0425</f>
        <v>0</v>
      </c>
      <c r="HTS16" s="238">
        <f t="shared" ref="HTS16" si="2969">HTS11*0.0425</f>
        <v>0</v>
      </c>
      <c r="HTU16" s="238">
        <f t="shared" ref="HTU16" si="2970">HTU11*0.0425</f>
        <v>0</v>
      </c>
      <c r="HTW16" s="238">
        <f t="shared" ref="HTW16" si="2971">HTW11*0.0425</f>
        <v>0</v>
      </c>
      <c r="HTY16" s="238">
        <f t="shared" ref="HTY16" si="2972">HTY11*0.0425</f>
        <v>0</v>
      </c>
      <c r="HUA16" s="238">
        <f t="shared" ref="HUA16" si="2973">HUA11*0.0425</f>
        <v>0</v>
      </c>
      <c r="HUC16" s="238">
        <f t="shared" ref="HUC16" si="2974">HUC11*0.0425</f>
        <v>0</v>
      </c>
      <c r="HUE16" s="238">
        <f t="shared" ref="HUE16" si="2975">HUE11*0.0425</f>
        <v>0</v>
      </c>
      <c r="HUG16" s="238">
        <f t="shared" ref="HUG16" si="2976">HUG11*0.0425</f>
        <v>0</v>
      </c>
      <c r="HUI16" s="238">
        <f t="shared" ref="HUI16" si="2977">HUI11*0.0425</f>
        <v>0</v>
      </c>
      <c r="HUK16" s="238">
        <f t="shared" ref="HUK16" si="2978">HUK11*0.0425</f>
        <v>0</v>
      </c>
      <c r="HUM16" s="238">
        <f t="shared" ref="HUM16" si="2979">HUM11*0.0425</f>
        <v>0</v>
      </c>
      <c r="HUO16" s="238">
        <f t="shared" ref="HUO16" si="2980">HUO11*0.0425</f>
        <v>0</v>
      </c>
      <c r="HUQ16" s="238">
        <f t="shared" ref="HUQ16" si="2981">HUQ11*0.0425</f>
        <v>0</v>
      </c>
      <c r="HUS16" s="238">
        <f t="shared" ref="HUS16" si="2982">HUS11*0.0425</f>
        <v>0</v>
      </c>
      <c r="HUU16" s="238">
        <f t="shared" ref="HUU16" si="2983">HUU11*0.0425</f>
        <v>0</v>
      </c>
      <c r="HUW16" s="238">
        <f t="shared" ref="HUW16" si="2984">HUW11*0.0425</f>
        <v>0</v>
      </c>
      <c r="HUY16" s="238">
        <f t="shared" ref="HUY16" si="2985">HUY11*0.0425</f>
        <v>0</v>
      </c>
      <c r="HVA16" s="238">
        <f t="shared" ref="HVA16" si="2986">HVA11*0.0425</f>
        <v>0</v>
      </c>
      <c r="HVC16" s="238">
        <f t="shared" ref="HVC16" si="2987">HVC11*0.0425</f>
        <v>0</v>
      </c>
      <c r="HVE16" s="238">
        <f t="shared" ref="HVE16" si="2988">HVE11*0.0425</f>
        <v>0</v>
      </c>
      <c r="HVG16" s="238">
        <f t="shared" ref="HVG16" si="2989">HVG11*0.0425</f>
        <v>0</v>
      </c>
      <c r="HVI16" s="238">
        <f t="shared" ref="HVI16" si="2990">HVI11*0.0425</f>
        <v>0</v>
      </c>
      <c r="HVK16" s="238">
        <f t="shared" ref="HVK16" si="2991">HVK11*0.0425</f>
        <v>0</v>
      </c>
      <c r="HVM16" s="238">
        <f t="shared" ref="HVM16" si="2992">HVM11*0.0425</f>
        <v>0</v>
      </c>
      <c r="HVO16" s="238">
        <f t="shared" ref="HVO16" si="2993">HVO11*0.0425</f>
        <v>0</v>
      </c>
      <c r="HVQ16" s="238">
        <f t="shared" ref="HVQ16" si="2994">HVQ11*0.0425</f>
        <v>0</v>
      </c>
      <c r="HVS16" s="238">
        <f t="shared" ref="HVS16" si="2995">HVS11*0.0425</f>
        <v>0</v>
      </c>
      <c r="HVU16" s="238">
        <f t="shared" ref="HVU16" si="2996">HVU11*0.0425</f>
        <v>0</v>
      </c>
      <c r="HVW16" s="238">
        <f t="shared" ref="HVW16" si="2997">HVW11*0.0425</f>
        <v>0</v>
      </c>
      <c r="HVY16" s="238">
        <f t="shared" ref="HVY16" si="2998">HVY11*0.0425</f>
        <v>0</v>
      </c>
      <c r="HWA16" s="238">
        <f t="shared" ref="HWA16" si="2999">HWA11*0.0425</f>
        <v>0</v>
      </c>
      <c r="HWC16" s="238">
        <f t="shared" ref="HWC16" si="3000">HWC11*0.0425</f>
        <v>0</v>
      </c>
      <c r="HWE16" s="238">
        <f t="shared" ref="HWE16" si="3001">HWE11*0.0425</f>
        <v>0</v>
      </c>
      <c r="HWG16" s="238">
        <f t="shared" ref="HWG16" si="3002">HWG11*0.0425</f>
        <v>0</v>
      </c>
      <c r="HWI16" s="238">
        <f t="shared" ref="HWI16" si="3003">HWI11*0.0425</f>
        <v>0</v>
      </c>
      <c r="HWK16" s="238">
        <f t="shared" ref="HWK16" si="3004">HWK11*0.0425</f>
        <v>0</v>
      </c>
      <c r="HWM16" s="238">
        <f t="shared" ref="HWM16" si="3005">HWM11*0.0425</f>
        <v>0</v>
      </c>
      <c r="HWO16" s="238">
        <f t="shared" ref="HWO16" si="3006">HWO11*0.0425</f>
        <v>0</v>
      </c>
      <c r="HWQ16" s="238">
        <f t="shared" ref="HWQ16" si="3007">HWQ11*0.0425</f>
        <v>0</v>
      </c>
      <c r="HWS16" s="238">
        <f t="shared" ref="HWS16" si="3008">HWS11*0.0425</f>
        <v>0</v>
      </c>
      <c r="HWU16" s="238">
        <f t="shared" ref="HWU16" si="3009">HWU11*0.0425</f>
        <v>0</v>
      </c>
      <c r="HWW16" s="238">
        <f t="shared" ref="HWW16" si="3010">HWW11*0.0425</f>
        <v>0</v>
      </c>
      <c r="HWY16" s="238">
        <f t="shared" ref="HWY16" si="3011">HWY11*0.0425</f>
        <v>0</v>
      </c>
      <c r="HXA16" s="238">
        <f t="shared" ref="HXA16" si="3012">HXA11*0.0425</f>
        <v>0</v>
      </c>
      <c r="HXC16" s="238">
        <f t="shared" ref="HXC16" si="3013">HXC11*0.0425</f>
        <v>0</v>
      </c>
      <c r="HXE16" s="238">
        <f t="shared" ref="HXE16" si="3014">HXE11*0.0425</f>
        <v>0</v>
      </c>
      <c r="HXG16" s="238">
        <f t="shared" ref="HXG16" si="3015">HXG11*0.0425</f>
        <v>0</v>
      </c>
      <c r="HXI16" s="238">
        <f t="shared" ref="HXI16" si="3016">HXI11*0.0425</f>
        <v>0</v>
      </c>
      <c r="HXK16" s="238">
        <f t="shared" ref="HXK16" si="3017">HXK11*0.0425</f>
        <v>0</v>
      </c>
      <c r="HXM16" s="238">
        <f t="shared" ref="HXM16" si="3018">HXM11*0.0425</f>
        <v>0</v>
      </c>
      <c r="HXO16" s="238">
        <f t="shared" ref="HXO16" si="3019">HXO11*0.0425</f>
        <v>0</v>
      </c>
      <c r="HXQ16" s="238">
        <f t="shared" ref="HXQ16" si="3020">HXQ11*0.0425</f>
        <v>0</v>
      </c>
      <c r="HXS16" s="238">
        <f t="shared" ref="HXS16" si="3021">HXS11*0.0425</f>
        <v>0</v>
      </c>
      <c r="HXU16" s="238">
        <f t="shared" ref="HXU16" si="3022">HXU11*0.0425</f>
        <v>0</v>
      </c>
      <c r="HXW16" s="238">
        <f t="shared" ref="HXW16" si="3023">HXW11*0.0425</f>
        <v>0</v>
      </c>
      <c r="HXY16" s="238">
        <f t="shared" ref="HXY16" si="3024">HXY11*0.0425</f>
        <v>0</v>
      </c>
      <c r="HYA16" s="238">
        <f t="shared" ref="HYA16" si="3025">HYA11*0.0425</f>
        <v>0</v>
      </c>
      <c r="HYC16" s="238">
        <f t="shared" ref="HYC16" si="3026">HYC11*0.0425</f>
        <v>0</v>
      </c>
      <c r="HYE16" s="238">
        <f t="shared" ref="HYE16" si="3027">HYE11*0.0425</f>
        <v>0</v>
      </c>
      <c r="HYG16" s="238">
        <f t="shared" ref="HYG16" si="3028">HYG11*0.0425</f>
        <v>0</v>
      </c>
      <c r="HYI16" s="238">
        <f t="shared" ref="HYI16" si="3029">HYI11*0.0425</f>
        <v>0</v>
      </c>
      <c r="HYK16" s="238">
        <f t="shared" ref="HYK16" si="3030">HYK11*0.0425</f>
        <v>0</v>
      </c>
      <c r="HYM16" s="238">
        <f t="shared" ref="HYM16" si="3031">HYM11*0.0425</f>
        <v>0</v>
      </c>
      <c r="HYO16" s="238">
        <f t="shared" ref="HYO16" si="3032">HYO11*0.0425</f>
        <v>0</v>
      </c>
      <c r="HYQ16" s="238">
        <f t="shared" ref="HYQ16" si="3033">HYQ11*0.0425</f>
        <v>0</v>
      </c>
      <c r="HYS16" s="238">
        <f t="shared" ref="HYS16" si="3034">HYS11*0.0425</f>
        <v>0</v>
      </c>
      <c r="HYU16" s="238">
        <f t="shared" ref="HYU16" si="3035">HYU11*0.0425</f>
        <v>0</v>
      </c>
      <c r="HYW16" s="238">
        <f t="shared" ref="HYW16" si="3036">HYW11*0.0425</f>
        <v>0</v>
      </c>
      <c r="HYY16" s="238">
        <f t="shared" ref="HYY16" si="3037">HYY11*0.0425</f>
        <v>0</v>
      </c>
      <c r="HZA16" s="238">
        <f t="shared" ref="HZA16" si="3038">HZA11*0.0425</f>
        <v>0</v>
      </c>
      <c r="HZC16" s="238">
        <f t="shared" ref="HZC16" si="3039">HZC11*0.0425</f>
        <v>0</v>
      </c>
      <c r="HZE16" s="238">
        <f t="shared" ref="HZE16" si="3040">HZE11*0.0425</f>
        <v>0</v>
      </c>
      <c r="HZG16" s="238">
        <f t="shared" ref="HZG16" si="3041">HZG11*0.0425</f>
        <v>0</v>
      </c>
      <c r="HZI16" s="238">
        <f t="shared" ref="HZI16" si="3042">HZI11*0.0425</f>
        <v>0</v>
      </c>
      <c r="HZK16" s="238">
        <f t="shared" ref="HZK16" si="3043">HZK11*0.0425</f>
        <v>0</v>
      </c>
      <c r="HZM16" s="238">
        <f t="shared" ref="HZM16" si="3044">HZM11*0.0425</f>
        <v>0</v>
      </c>
      <c r="HZO16" s="238">
        <f t="shared" ref="HZO16" si="3045">HZO11*0.0425</f>
        <v>0</v>
      </c>
      <c r="HZQ16" s="238">
        <f t="shared" ref="HZQ16" si="3046">HZQ11*0.0425</f>
        <v>0</v>
      </c>
      <c r="HZS16" s="238">
        <f t="shared" ref="HZS16" si="3047">HZS11*0.0425</f>
        <v>0</v>
      </c>
      <c r="HZU16" s="238">
        <f t="shared" ref="HZU16" si="3048">HZU11*0.0425</f>
        <v>0</v>
      </c>
      <c r="HZW16" s="238">
        <f t="shared" ref="HZW16" si="3049">HZW11*0.0425</f>
        <v>0</v>
      </c>
      <c r="HZY16" s="238">
        <f t="shared" ref="HZY16" si="3050">HZY11*0.0425</f>
        <v>0</v>
      </c>
      <c r="IAA16" s="238">
        <f t="shared" ref="IAA16" si="3051">IAA11*0.0425</f>
        <v>0</v>
      </c>
      <c r="IAC16" s="238">
        <f t="shared" ref="IAC16" si="3052">IAC11*0.0425</f>
        <v>0</v>
      </c>
      <c r="IAE16" s="238">
        <f t="shared" ref="IAE16" si="3053">IAE11*0.0425</f>
        <v>0</v>
      </c>
      <c r="IAG16" s="238">
        <f t="shared" ref="IAG16" si="3054">IAG11*0.0425</f>
        <v>0</v>
      </c>
      <c r="IAI16" s="238">
        <f t="shared" ref="IAI16" si="3055">IAI11*0.0425</f>
        <v>0</v>
      </c>
      <c r="IAK16" s="238">
        <f t="shared" ref="IAK16" si="3056">IAK11*0.0425</f>
        <v>0</v>
      </c>
      <c r="IAM16" s="238">
        <f t="shared" ref="IAM16" si="3057">IAM11*0.0425</f>
        <v>0</v>
      </c>
      <c r="IAO16" s="238">
        <f t="shared" ref="IAO16" si="3058">IAO11*0.0425</f>
        <v>0</v>
      </c>
      <c r="IAQ16" s="238">
        <f t="shared" ref="IAQ16" si="3059">IAQ11*0.0425</f>
        <v>0</v>
      </c>
      <c r="IAS16" s="238">
        <f t="shared" ref="IAS16" si="3060">IAS11*0.0425</f>
        <v>0</v>
      </c>
      <c r="IAU16" s="238">
        <f t="shared" ref="IAU16" si="3061">IAU11*0.0425</f>
        <v>0</v>
      </c>
      <c r="IAW16" s="238">
        <f t="shared" ref="IAW16" si="3062">IAW11*0.0425</f>
        <v>0</v>
      </c>
      <c r="IAY16" s="238">
        <f t="shared" ref="IAY16" si="3063">IAY11*0.0425</f>
        <v>0</v>
      </c>
      <c r="IBA16" s="238">
        <f t="shared" ref="IBA16" si="3064">IBA11*0.0425</f>
        <v>0</v>
      </c>
      <c r="IBC16" s="238">
        <f t="shared" ref="IBC16" si="3065">IBC11*0.0425</f>
        <v>0</v>
      </c>
      <c r="IBE16" s="238">
        <f t="shared" ref="IBE16" si="3066">IBE11*0.0425</f>
        <v>0</v>
      </c>
      <c r="IBG16" s="238">
        <f t="shared" ref="IBG16" si="3067">IBG11*0.0425</f>
        <v>0</v>
      </c>
      <c r="IBI16" s="238">
        <f t="shared" ref="IBI16" si="3068">IBI11*0.0425</f>
        <v>0</v>
      </c>
      <c r="IBK16" s="238">
        <f t="shared" ref="IBK16" si="3069">IBK11*0.0425</f>
        <v>0</v>
      </c>
      <c r="IBM16" s="238">
        <f t="shared" ref="IBM16" si="3070">IBM11*0.0425</f>
        <v>0</v>
      </c>
      <c r="IBO16" s="238">
        <f t="shared" ref="IBO16" si="3071">IBO11*0.0425</f>
        <v>0</v>
      </c>
      <c r="IBQ16" s="238">
        <f t="shared" ref="IBQ16" si="3072">IBQ11*0.0425</f>
        <v>0</v>
      </c>
      <c r="IBS16" s="238">
        <f t="shared" ref="IBS16" si="3073">IBS11*0.0425</f>
        <v>0</v>
      </c>
      <c r="IBU16" s="238">
        <f t="shared" ref="IBU16" si="3074">IBU11*0.0425</f>
        <v>0</v>
      </c>
      <c r="IBW16" s="238">
        <f t="shared" ref="IBW16" si="3075">IBW11*0.0425</f>
        <v>0</v>
      </c>
      <c r="IBY16" s="238">
        <f t="shared" ref="IBY16" si="3076">IBY11*0.0425</f>
        <v>0</v>
      </c>
      <c r="ICA16" s="238">
        <f t="shared" ref="ICA16" si="3077">ICA11*0.0425</f>
        <v>0</v>
      </c>
      <c r="ICC16" s="238">
        <f t="shared" ref="ICC16" si="3078">ICC11*0.0425</f>
        <v>0</v>
      </c>
      <c r="ICE16" s="238">
        <f t="shared" ref="ICE16" si="3079">ICE11*0.0425</f>
        <v>0</v>
      </c>
      <c r="ICG16" s="238">
        <f t="shared" ref="ICG16" si="3080">ICG11*0.0425</f>
        <v>0</v>
      </c>
      <c r="ICI16" s="238">
        <f t="shared" ref="ICI16" si="3081">ICI11*0.0425</f>
        <v>0</v>
      </c>
      <c r="ICK16" s="238">
        <f t="shared" ref="ICK16" si="3082">ICK11*0.0425</f>
        <v>0</v>
      </c>
      <c r="ICM16" s="238">
        <f t="shared" ref="ICM16" si="3083">ICM11*0.0425</f>
        <v>0</v>
      </c>
      <c r="ICO16" s="238">
        <f t="shared" ref="ICO16" si="3084">ICO11*0.0425</f>
        <v>0</v>
      </c>
      <c r="ICQ16" s="238">
        <f t="shared" ref="ICQ16" si="3085">ICQ11*0.0425</f>
        <v>0</v>
      </c>
      <c r="ICS16" s="238">
        <f t="shared" ref="ICS16" si="3086">ICS11*0.0425</f>
        <v>0</v>
      </c>
      <c r="ICU16" s="238">
        <f t="shared" ref="ICU16" si="3087">ICU11*0.0425</f>
        <v>0</v>
      </c>
      <c r="ICW16" s="238">
        <f t="shared" ref="ICW16" si="3088">ICW11*0.0425</f>
        <v>0</v>
      </c>
      <c r="ICY16" s="238">
        <f t="shared" ref="ICY16" si="3089">ICY11*0.0425</f>
        <v>0</v>
      </c>
      <c r="IDA16" s="238">
        <f t="shared" ref="IDA16" si="3090">IDA11*0.0425</f>
        <v>0</v>
      </c>
      <c r="IDC16" s="238">
        <f t="shared" ref="IDC16" si="3091">IDC11*0.0425</f>
        <v>0</v>
      </c>
      <c r="IDE16" s="238">
        <f t="shared" ref="IDE16" si="3092">IDE11*0.0425</f>
        <v>0</v>
      </c>
      <c r="IDG16" s="238">
        <f t="shared" ref="IDG16" si="3093">IDG11*0.0425</f>
        <v>0</v>
      </c>
      <c r="IDI16" s="238">
        <f t="shared" ref="IDI16" si="3094">IDI11*0.0425</f>
        <v>0</v>
      </c>
      <c r="IDK16" s="238">
        <f t="shared" ref="IDK16" si="3095">IDK11*0.0425</f>
        <v>0</v>
      </c>
      <c r="IDM16" s="238">
        <f t="shared" ref="IDM16" si="3096">IDM11*0.0425</f>
        <v>0</v>
      </c>
      <c r="IDO16" s="238">
        <f t="shared" ref="IDO16" si="3097">IDO11*0.0425</f>
        <v>0</v>
      </c>
      <c r="IDQ16" s="238">
        <f t="shared" ref="IDQ16" si="3098">IDQ11*0.0425</f>
        <v>0</v>
      </c>
      <c r="IDS16" s="238">
        <f t="shared" ref="IDS16" si="3099">IDS11*0.0425</f>
        <v>0</v>
      </c>
      <c r="IDU16" s="238">
        <f t="shared" ref="IDU16" si="3100">IDU11*0.0425</f>
        <v>0</v>
      </c>
      <c r="IDW16" s="238">
        <f t="shared" ref="IDW16" si="3101">IDW11*0.0425</f>
        <v>0</v>
      </c>
      <c r="IDY16" s="238">
        <f t="shared" ref="IDY16" si="3102">IDY11*0.0425</f>
        <v>0</v>
      </c>
      <c r="IEA16" s="238">
        <f t="shared" ref="IEA16" si="3103">IEA11*0.0425</f>
        <v>0</v>
      </c>
      <c r="IEC16" s="238">
        <f t="shared" ref="IEC16" si="3104">IEC11*0.0425</f>
        <v>0</v>
      </c>
      <c r="IEE16" s="238">
        <f t="shared" ref="IEE16" si="3105">IEE11*0.0425</f>
        <v>0</v>
      </c>
      <c r="IEG16" s="238">
        <f t="shared" ref="IEG16" si="3106">IEG11*0.0425</f>
        <v>0</v>
      </c>
      <c r="IEI16" s="238">
        <f t="shared" ref="IEI16" si="3107">IEI11*0.0425</f>
        <v>0</v>
      </c>
      <c r="IEK16" s="238">
        <f t="shared" ref="IEK16" si="3108">IEK11*0.0425</f>
        <v>0</v>
      </c>
      <c r="IEM16" s="238">
        <f t="shared" ref="IEM16" si="3109">IEM11*0.0425</f>
        <v>0</v>
      </c>
      <c r="IEO16" s="238">
        <f t="shared" ref="IEO16" si="3110">IEO11*0.0425</f>
        <v>0</v>
      </c>
      <c r="IEQ16" s="238">
        <f t="shared" ref="IEQ16" si="3111">IEQ11*0.0425</f>
        <v>0</v>
      </c>
      <c r="IES16" s="238">
        <f t="shared" ref="IES16" si="3112">IES11*0.0425</f>
        <v>0</v>
      </c>
      <c r="IEU16" s="238">
        <f t="shared" ref="IEU16" si="3113">IEU11*0.0425</f>
        <v>0</v>
      </c>
      <c r="IEW16" s="238">
        <f t="shared" ref="IEW16" si="3114">IEW11*0.0425</f>
        <v>0</v>
      </c>
      <c r="IEY16" s="238">
        <f t="shared" ref="IEY16" si="3115">IEY11*0.0425</f>
        <v>0</v>
      </c>
      <c r="IFA16" s="238">
        <f t="shared" ref="IFA16" si="3116">IFA11*0.0425</f>
        <v>0</v>
      </c>
      <c r="IFC16" s="238">
        <f t="shared" ref="IFC16" si="3117">IFC11*0.0425</f>
        <v>0</v>
      </c>
      <c r="IFE16" s="238">
        <f t="shared" ref="IFE16" si="3118">IFE11*0.0425</f>
        <v>0</v>
      </c>
      <c r="IFG16" s="238">
        <f t="shared" ref="IFG16" si="3119">IFG11*0.0425</f>
        <v>0</v>
      </c>
      <c r="IFI16" s="238">
        <f t="shared" ref="IFI16" si="3120">IFI11*0.0425</f>
        <v>0</v>
      </c>
      <c r="IFK16" s="238">
        <f t="shared" ref="IFK16" si="3121">IFK11*0.0425</f>
        <v>0</v>
      </c>
      <c r="IFM16" s="238">
        <f t="shared" ref="IFM16" si="3122">IFM11*0.0425</f>
        <v>0</v>
      </c>
      <c r="IFO16" s="238">
        <f t="shared" ref="IFO16" si="3123">IFO11*0.0425</f>
        <v>0</v>
      </c>
      <c r="IFQ16" s="238">
        <f t="shared" ref="IFQ16" si="3124">IFQ11*0.0425</f>
        <v>0</v>
      </c>
      <c r="IFS16" s="238">
        <f t="shared" ref="IFS16" si="3125">IFS11*0.0425</f>
        <v>0</v>
      </c>
      <c r="IFU16" s="238">
        <f t="shared" ref="IFU16" si="3126">IFU11*0.0425</f>
        <v>0</v>
      </c>
      <c r="IFW16" s="238">
        <f t="shared" ref="IFW16" si="3127">IFW11*0.0425</f>
        <v>0</v>
      </c>
      <c r="IFY16" s="238">
        <f t="shared" ref="IFY16" si="3128">IFY11*0.0425</f>
        <v>0</v>
      </c>
      <c r="IGA16" s="238">
        <f t="shared" ref="IGA16" si="3129">IGA11*0.0425</f>
        <v>0</v>
      </c>
      <c r="IGC16" s="238">
        <f t="shared" ref="IGC16" si="3130">IGC11*0.0425</f>
        <v>0</v>
      </c>
      <c r="IGE16" s="238">
        <f t="shared" ref="IGE16" si="3131">IGE11*0.0425</f>
        <v>0</v>
      </c>
      <c r="IGG16" s="238">
        <f t="shared" ref="IGG16" si="3132">IGG11*0.0425</f>
        <v>0</v>
      </c>
      <c r="IGI16" s="238">
        <f t="shared" ref="IGI16" si="3133">IGI11*0.0425</f>
        <v>0</v>
      </c>
      <c r="IGK16" s="238">
        <f t="shared" ref="IGK16" si="3134">IGK11*0.0425</f>
        <v>0</v>
      </c>
      <c r="IGM16" s="238">
        <f t="shared" ref="IGM16" si="3135">IGM11*0.0425</f>
        <v>0</v>
      </c>
      <c r="IGO16" s="238">
        <f t="shared" ref="IGO16" si="3136">IGO11*0.0425</f>
        <v>0</v>
      </c>
      <c r="IGQ16" s="238">
        <f t="shared" ref="IGQ16" si="3137">IGQ11*0.0425</f>
        <v>0</v>
      </c>
      <c r="IGS16" s="238">
        <f t="shared" ref="IGS16" si="3138">IGS11*0.0425</f>
        <v>0</v>
      </c>
      <c r="IGU16" s="238">
        <f t="shared" ref="IGU16" si="3139">IGU11*0.0425</f>
        <v>0</v>
      </c>
      <c r="IGW16" s="238">
        <f t="shared" ref="IGW16" si="3140">IGW11*0.0425</f>
        <v>0</v>
      </c>
      <c r="IGY16" s="238">
        <f t="shared" ref="IGY16" si="3141">IGY11*0.0425</f>
        <v>0</v>
      </c>
      <c r="IHA16" s="238">
        <f t="shared" ref="IHA16" si="3142">IHA11*0.0425</f>
        <v>0</v>
      </c>
      <c r="IHC16" s="238">
        <f t="shared" ref="IHC16" si="3143">IHC11*0.0425</f>
        <v>0</v>
      </c>
      <c r="IHE16" s="238">
        <f t="shared" ref="IHE16" si="3144">IHE11*0.0425</f>
        <v>0</v>
      </c>
      <c r="IHG16" s="238">
        <f t="shared" ref="IHG16" si="3145">IHG11*0.0425</f>
        <v>0</v>
      </c>
      <c r="IHI16" s="238">
        <f t="shared" ref="IHI16" si="3146">IHI11*0.0425</f>
        <v>0</v>
      </c>
      <c r="IHK16" s="238">
        <f t="shared" ref="IHK16" si="3147">IHK11*0.0425</f>
        <v>0</v>
      </c>
      <c r="IHM16" s="238">
        <f t="shared" ref="IHM16" si="3148">IHM11*0.0425</f>
        <v>0</v>
      </c>
      <c r="IHO16" s="238">
        <f t="shared" ref="IHO16" si="3149">IHO11*0.0425</f>
        <v>0</v>
      </c>
      <c r="IHQ16" s="238">
        <f t="shared" ref="IHQ16" si="3150">IHQ11*0.0425</f>
        <v>0</v>
      </c>
      <c r="IHS16" s="238">
        <f t="shared" ref="IHS16" si="3151">IHS11*0.0425</f>
        <v>0</v>
      </c>
      <c r="IHU16" s="238">
        <f t="shared" ref="IHU16" si="3152">IHU11*0.0425</f>
        <v>0</v>
      </c>
      <c r="IHW16" s="238">
        <f t="shared" ref="IHW16" si="3153">IHW11*0.0425</f>
        <v>0</v>
      </c>
      <c r="IHY16" s="238">
        <f t="shared" ref="IHY16" si="3154">IHY11*0.0425</f>
        <v>0</v>
      </c>
      <c r="IIA16" s="238">
        <f t="shared" ref="IIA16" si="3155">IIA11*0.0425</f>
        <v>0</v>
      </c>
      <c r="IIC16" s="238">
        <f t="shared" ref="IIC16" si="3156">IIC11*0.0425</f>
        <v>0</v>
      </c>
      <c r="IIE16" s="238">
        <f t="shared" ref="IIE16" si="3157">IIE11*0.0425</f>
        <v>0</v>
      </c>
      <c r="IIG16" s="238">
        <f t="shared" ref="IIG16" si="3158">IIG11*0.0425</f>
        <v>0</v>
      </c>
      <c r="III16" s="238">
        <f t="shared" ref="III16" si="3159">III11*0.0425</f>
        <v>0</v>
      </c>
      <c r="IIK16" s="238">
        <f t="shared" ref="IIK16" si="3160">IIK11*0.0425</f>
        <v>0</v>
      </c>
      <c r="IIM16" s="238">
        <f t="shared" ref="IIM16" si="3161">IIM11*0.0425</f>
        <v>0</v>
      </c>
      <c r="IIO16" s="238">
        <f t="shared" ref="IIO16" si="3162">IIO11*0.0425</f>
        <v>0</v>
      </c>
      <c r="IIQ16" s="238">
        <f t="shared" ref="IIQ16" si="3163">IIQ11*0.0425</f>
        <v>0</v>
      </c>
      <c r="IIS16" s="238">
        <f t="shared" ref="IIS16" si="3164">IIS11*0.0425</f>
        <v>0</v>
      </c>
      <c r="IIU16" s="238">
        <f t="shared" ref="IIU16" si="3165">IIU11*0.0425</f>
        <v>0</v>
      </c>
      <c r="IIW16" s="238">
        <f t="shared" ref="IIW16" si="3166">IIW11*0.0425</f>
        <v>0</v>
      </c>
      <c r="IIY16" s="238">
        <f t="shared" ref="IIY16" si="3167">IIY11*0.0425</f>
        <v>0</v>
      </c>
      <c r="IJA16" s="238">
        <f t="shared" ref="IJA16" si="3168">IJA11*0.0425</f>
        <v>0</v>
      </c>
      <c r="IJC16" s="238">
        <f t="shared" ref="IJC16" si="3169">IJC11*0.0425</f>
        <v>0</v>
      </c>
      <c r="IJE16" s="238">
        <f t="shared" ref="IJE16" si="3170">IJE11*0.0425</f>
        <v>0</v>
      </c>
      <c r="IJG16" s="238">
        <f t="shared" ref="IJG16" si="3171">IJG11*0.0425</f>
        <v>0</v>
      </c>
      <c r="IJI16" s="238">
        <f t="shared" ref="IJI16" si="3172">IJI11*0.0425</f>
        <v>0</v>
      </c>
      <c r="IJK16" s="238">
        <f t="shared" ref="IJK16" si="3173">IJK11*0.0425</f>
        <v>0</v>
      </c>
      <c r="IJM16" s="238">
        <f t="shared" ref="IJM16" si="3174">IJM11*0.0425</f>
        <v>0</v>
      </c>
      <c r="IJO16" s="238">
        <f t="shared" ref="IJO16" si="3175">IJO11*0.0425</f>
        <v>0</v>
      </c>
      <c r="IJQ16" s="238">
        <f t="shared" ref="IJQ16" si="3176">IJQ11*0.0425</f>
        <v>0</v>
      </c>
      <c r="IJS16" s="238">
        <f t="shared" ref="IJS16" si="3177">IJS11*0.0425</f>
        <v>0</v>
      </c>
      <c r="IJU16" s="238">
        <f t="shared" ref="IJU16" si="3178">IJU11*0.0425</f>
        <v>0</v>
      </c>
      <c r="IJW16" s="238">
        <f t="shared" ref="IJW16" si="3179">IJW11*0.0425</f>
        <v>0</v>
      </c>
      <c r="IJY16" s="238">
        <f t="shared" ref="IJY16" si="3180">IJY11*0.0425</f>
        <v>0</v>
      </c>
      <c r="IKA16" s="238">
        <f t="shared" ref="IKA16" si="3181">IKA11*0.0425</f>
        <v>0</v>
      </c>
      <c r="IKC16" s="238">
        <f t="shared" ref="IKC16" si="3182">IKC11*0.0425</f>
        <v>0</v>
      </c>
      <c r="IKE16" s="238">
        <f t="shared" ref="IKE16" si="3183">IKE11*0.0425</f>
        <v>0</v>
      </c>
      <c r="IKG16" s="238">
        <f t="shared" ref="IKG16" si="3184">IKG11*0.0425</f>
        <v>0</v>
      </c>
      <c r="IKI16" s="238">
        <f t="shared" ref="IKI16" si="3185">IKI11*0.0425</f>
        <v>0</v>
      </c>
      <c r="IKK16" s="238">
        <f t="shared" ref="IKK16" si="3186">IKK11*0.0425</f>
        <v>0</v>
      </c>
      <c r="IKM16" s="238">
        <f t="shared" ref="IKM16" si="3187">IKM11*0.0425</f>
        <v>0</v>
      </c>
      <c r="IKO16" s="238">
        <f t="shared" ref="IKO16" si="3188">IKO11*0.0425</f>
        <v>0</v>
      </c>
      <c r="IKQ16" s="238">
        <f t="shared" ref="IKQ16" si="3189">IKQ11*0.0425</f>
        <v>0</v>
      </c>
      <c r="IKS16" s="238">
        <f t="shared" ref="IKS16" si="3190">IKS11*0.0425</f>
        <v>0</v>
      </c>
      <c r="IKU16" s="238">
        <f t="shared" ref="IKU16" si="3191">IKU11*0.0425</f>
        <v>0</v>
      </c>
      <c r="IKW16" s="238">
        <f t="shared" ref="IKW16" si="3192">IKW11*0.0425</f>
        <v>0</v>
      </c>
      <c r="IKY16" s="238">
        <f t="shared" ref="IKY16" si="3193">IKY11*0.0425</f>
        <v>0</v>
      </c>
      <c r="ILA16" s="238">
        <f t="shared" ref="ILA16" si="3194">ILA11*0.0425</f>
        <v>0</v>
      </c>
      <c r="ILC16" s="238">
        <f t="shared" ref="ILC16" si="3195">ILC11*0.0425</f>
        <v>0</v>
      </c>
      <c r="ILE16" s="238">
        <f t="shared" ref="ILE16" si="3196">ILE11*0.0425</f>
        <v>0</v>
      </c>
      <c r="ILG16" s="238">
        <f t="shared" ref="ILG16" si="3197">ILG11*0.0425</f>
        <v>0</v>
      </c>
      <c r="ILI16" s="238">
        <f t="shared" ref="ILI16" si="3198">ILI11*0.0425</f>
        <v>0</v>
      </c>
      <c r="ILK16" s="238">
        <f t="shared" ref="ILK16" si="3199">ILK11*0.0425</f>
        <v>0</v>
      </c>
      <c r="ILM16" s="238">
        <f t="shared" ref="ILM16" si="3200">ILM11*0.0425</f>
        <v>0</v>
      </c>
      <c r="ILO16" s="238">
        <f t="shared" ref="ILO16" si="3201">ILO11*0.0425</f>
        <v>0</v>
      </c>
      <c r="ILQ16" s="238">
        <f t="shared" ref="ILQ16" si="3202">ILQ11*0.0425</f>
        <v>0</v>
      </c>
      <c r="ILS16" s="238">
        <f t="shared" ref="ILS16" si="3203">ILS11*0.0425</f>
        <v>0</v>
      </c>
      <c r="ILU16" s="238">
        <f t="shared" ref="ILU16" si="3204">ILU11*0.0425</f>
        <v>0</v>
      </c>
      <c r="ILW16" s="238">
        <f t="shared" ref="ILW16" si="3205">ILW11*0.0425</f>
        <v>0</v>
      </c>
      <c r="ILY16" s="238">
        <f t="shared" ref="ILY16" si="3206">ILY11*0.0425</f>
        <v>0</v>
      </c>
      <c r="IMA16" s="238">
        <f t="shared" ref="IMA16" si="3207">IMA11*0.0425</f>
        <v>0</v>
      </c>
      <c r="IMC16" s="238">
        <f t="shared" ref="IMC16" si="3208">IMC11*0.0425</f>
        <v>0</v>
      </c>
      <c r="IME16" s="238">
        <f t="shared" ref="IME16" si="3209">IME11*0.0425</f>
        <v>0</v>
      </c>
      <c r="IMG16" s="238">
        <f t="shared" ref="IMG16" si="3210">IMG11*0.0425</f>
        <v>0</v>
      </c>
      <c r="IMI16" s="238">
        <f t="shared" ref="IMI16" si="3211">IMI11*0.0425</f>
        <v>0</v>
      </c>
      <c r="IMK16" s="238">
        <f t="shared" ref="IMK16" si="3212">IMK11*0.0425</f>
        <v>0</v>
      </c>
      <c r="IMM16" s="238">
        <f t="shared" ref="IMM16" si="3213">IMM11*0.0425</f>
        <v>0</v>
      </c>
      <c r="IMO16" s="238">
        <f t="shared" ref="IMO16" si="3214">IMO11*0.0425</f>
        <v>0</v>
      </c>
      <c r="IMQ16" s="238">
        <f t="shared" ref="IMQ16" si="3215">IMQ11*0.0425</f>
        <v>0</v>
      </c>
      <c r="IMS16" s="238">
        <f t="shared" ref="IMS16" si="3216">IMS11*0.0425</f>
        <v>0</v>
      </c>
      <c r="IMU16" s="238">
        <f t="shared" ref="IMU16" si="3217">IMU11*0.0425</f>
        <v>0</v>
      </c>
      <c r="IMW16" s="238">
        <f t="shared" ref="IMW16" si="3218">IMW11*0.0425</f>
        <v>0</v>
      </c>
      <c r="IMY16" s="238">
        <f t="shared" ref="IMY16" si="3219">IMY11*0.0425</f>
        <v>0</v>
      </c>
      <c r="INA16" s="238">
        <f t="shared" ref="INA16" si="3220">INA11*0.0425</f>
        <v>0</v>
      </c>
      <c r="INC16" s="238">
        <f t="shared" ref="INC16" si="3221">INC11*0.0425</f>
        <v>0</v>
      </c>
      <c r="INE16" s="238">
        <f t="shared" ref="INE16" si="3222">INE11*0.0425</f>
        <v>0</v>
      </c>
      <c r="ING16" s="238">
        <f t="shared" ref="ING16" si="3223">ING11*0.0425</f>
        <v>0</v>
      </c>
      <c r="INI16" s="238">
        <f t="shared" ref="INI16" si="3224">INI11*0.0425</f>
        <v>0</v>
      </c>
      <c r="INK16" s="238">
        <f t="shared" ref="INK16" si="3225">INK11*0.0425</f>
        <v>0</v>
      </c>
      <c r="INM16" s="238">
        <f t="shared" ref="INM16" si="3226">INM11*0.0425</f>
        <v>0</v>
      </c>
      <c r="INO16" s="238">
        <f t="shared" ref="INO16" si="3227">INO11*0.0425</f>
        <v>0</v>
      </c>
      <c r="INQ16" s="238">
        <f t="shared" ref="INQ16" si="3228">INQ11*0.0425</f>
        <v>0</v>
      </c>
      <c r="INS16" s="238">
        <f t="shared" ref="INS16" si="3229">INS11*0.0425</f>
        <v>0</v>
      </c>
      <c r="INU16" s="238">
        <f t="shared" ref="INU16" si="3230">INU11*0.0425</f>
        <v>0</v>
      </c>
      <c r="INW16" s="238">
        <f t="shared" ref="INW16" si="3231">INW11*0.0425</f>
        <v>0</v>
      </c>
      <c r="INY16" s="238">
        <f t="shared" ref="INY16" si="3232">INY11*0.0425</f>
        <v>0</v>
      </c>
      <c r="IOA16" s="238">
        <f t="shared" ref="IOA16" si="3233">IOA11*0.0425</f>
        <v>0</v>
      </c>
      <c r="IOC16" s="238">
        <f t="shared" ref="IOC16" si="3234">IOC11*0.0425</f>
        <v>0</v>
      </c>
      <c r="IOE16" s="238">
        <f t="shared" ref="IOE16" si="3235">IOE11*0.0425</f>
        <v>0</v>
      </c>
      <c r="IOG16" s="238">
        <f t="shared" ref="IOG16" si="3236">IOG11*0.0425</f>
        <v>0</v>
      </c>
      <c r="IOI16" s="238">
        <f t="shared" ref="IOI16" si="3237">IOI11*0.0425</f>
        <v>0</v>
      </c>
      <c r="IOK16" s="238">
        <f t="shared" ref="IOK16" si="3238">IOK11*0.0425</f>
        <v>0</v>
      </c>
      <c r="IOM16" s="238">
        <f t="shared" ref="IOM16" si="3239">IOM11*0.0425</f>
        <v>0</v>
      </c>
      <c r="IOO16" s="238">
        <f t="shared" ref="IOO16" si="3240">IOO11*0.0425</f>
        <v>0</v>
      </c>
      <c r="IOQ16" s="238">
        <f t="shared" ref="IOQ16" si="3241">IOQ11*0.0425</f>
        <v>0</v>
      </c>
      <c r="IOS16" s="238">
        <f t="shared" ref="IOS16" si="3242">IOS11*0.0425</f>
        <v>0</v>
      </c>
      <c r="IOU16" s="238">
        <f t="shared" ref="IOU16" si="3243">IOU11*0.0425</f>
        <v>0</v>
      </c>
      <c r="IOW16" s="238">
        <f t="shared" ref="IOW16" si="3244">IOW11*0.0425</f>
        <v>0</v>
      </c>
      <c r="IOY16" s="238">
        <f t="shared" ref="IOY16" si="3245">IOY11*0.0425</f>
        <v>0</v>
      </c>
      <c r="IPA16" s="238">
        <f t="shared" ref="IPA16" si="3246">IPA11*0.0425</f>
        <v>0</v>
      </c>
      <c r="IPC16" s="238">
        <f t="shared" ref="IPC16" si="3247">IPC11*0.0425</f>
        <v>0</v>
      </c>
      <c r="IPE16" s="238">
        <f t="shared" ref="IPE16" si="3248">IPE11*0.0425</f>
        <v>0</v>
      </c>
      <c r="IPG16" s="238">
        <f t="shared" ref="IPG16" si="3249">IPG11*0.0425</f>
        <v>0</v>
      </c>
      <c r="IPI16" s="238">
        <f t="shared" ref="IPI16" si="3250">IPI11*0.0425</f>
        <v>0</v>
      </c>
      <c r="IPK16" s="238">
        <f t="shared" ref="IPK16" si="3251">IPK11*0.0425</f>
        <v>0</v>
      </c>
      <c r="IPM16" s="238">
        <f t="shared" ref="IPM16" si="3252">IPM11*0.0425</f>
        <v>0</v>
      </c>
      <c r="IPO16" s="238">
        <f t="shared" ref="IPO16" si="3253">IPO11*0.0425</f>
        <v>0</v>
      </c>
      <c r="IPQ16" s="238">
        <f t="shared" ref="IPQ16" si="3254">IPQ11*0.0425</f>
        <v>0</v>
      </c>
      <c r="IPS16" s="238">
        <f t="shared" ref="IPS16" si="3255">IPS11*0.0425</f>
        <v>0</v>
      </c>
      <c r="IPU16" s="238">
        <f t="shared" ref="IPU16" si="3256">IPU11*0.0425</f>
        <v>0</v>
      </c>
      <c r="IPW16" s="238">
        <f t="shared" ref="IPW16" si="3257">IPW11*0.0425</f>
        <v>0</v>
      </c>
      <c r="IPY16" s="238">
        <f t="shared" ref="IPY16" si="3258">IPY11*0.0425</f>
        <v>0</v>
      </c>
      <c r="IQA16" s="238">
        <f t="shared" ref="IQA16" si="3259">IQA11*0.0425</f>
        <v>0</v>
      </c>
      <c r="IQC16" s="238">
        <f t="shared" ref="IQC16" si="3260">IQC11*0.0425</f>
        <v>0</v>
      </c>
      <c r="IQE16" s="238">
        <f t="shared" ref="IQE16" si="3261">IQE11*0.0425</f>
        <v>0</v>
      </c>
      <c r="IQG16" s="238">
        <f t="shared" ref="IQG16" si="3262">IQG11*0.0425</f>
        <v>0</v>
      </c>
      <c r="IQI16" s="238">
        <f t="shared" ref="IQI16" si="3263">IQI11*0.0425</f>
        <v>0</v>
      </c>
      <c r="IQK16" s="238">
        <f t="shared" ref="IQK16" si="3264">IQK11*0.0425</f>
        <v>0</v>
      </c>
      <c r="IQM16" s="238">
        <f t="shared" ref="IQM16" si="3265">IQM11*0.0425</f>
        <v>0</v>
      </c>
      <c r="IQO16" s="238">
        <f t="shared" ref="IQO16" si="3266">IQO11*0.0425</f>
        <v>0</v>
      </c>
      <c r="IQQ16" s="238">
        <f t="shared" ref="IQQ16" si="3267">IQQ11*0.0425</f>
        <v>0</v>
      </c>
      <c r="IQS16" s="238">
        <f t="shared" ref="IQS16" si="3268">IQS11*0.0425</f>
        <v>0</v>
      </c>
      <c r="IQU16" s="238">
        <f t="shared" ref="IQU16" si="3269">IQU11*0.0425</f>
        <v>0</v>
      </c>
      <c r="IQW16" s="238">
        <f t="shared" ref="IQW16" si="3270">IQW11*0.0425</f>
        <v>0</v>
      </c>
      <c r="IQY16" s="238">
        <f t="shared" ref="IQY16" si="3271">IQY11*0.0425</f>
        <v>0</v>
      </c>
      <c r="IRA16" s="238">
        <f t="shared" ref="IRA16" si="3272">IRA11*0.0425</f>
        <v>0</v>
      </c>
      <c r="IRC16" s="238">
        <f t="shared" ref="IRC16" si="3273">IRC11*0.0425</f>
        <v>0</v>
      </c>
      <c r="IRE16" s="238">
        <f t="shared" ref="IRE16" si="3274">IRE11*0.0425</f>
        <v>0</v>
      </c>
      <c r="IRG16" s="238">
        <f t="shared" ref="IRG16" si="3275">IRG11*0.0425</f>
        <v>0</v>
      </c>
      <c r="IRI16" s="238">
        <f t="shared" ref="IRI16" si="3276">IRI11*0.0425</f>
        <v>0</v>
      </c>
      <c r="IRK16" s="238">
        <f t="shared" ref="IRK16" si="3277">IRK11*0.0425</f>
        <v>0</v>
      </c>
      <c r="IRM16" s="238">
        <f t="shared" ref="IRM16" si="3278">IRM11*0.0425</f>
        <v>0</v>
      </c>
      <c r="IRO16" s="238">
        <f t="shared" ref="IRO16" si="3279">IRO11*0.0425</f>
        <v>0</v>
      </c>
      <c r="IRQ16" s="238">
        <f t="shared" ref="IRQ16" si="3280">IRQ11*0.0425</f>
        <v>0</v>
      </c>
      <c r="IRS16" s="238">
        <f t="shared" ref="IRS16" si="3281">IRS11*0.0425</f>
        <v>0</v>
      </c>
      <c r="IRU16" s="238">
        <f t="shared" ref="IRU16" si="3282">IRU11*0.0425</f>
        <v>0</v>
      </c>
      <c r="IRW16" s="238">
        <f t="shared" ref="IRW16" si="3283">IRW11*0.0425</f>
        <v>0</v>
      </c>
      <c r="IRY16" s="238">
        <f t="shared" ref="IRY16" si="3284">IRY11*0.0425</f>
        <v>0</v>
      </c>
      <c r="ISA16" s="238">
        <f t="shared" ref="ISA16" si="3285">ISA11*0.0425</f>
        <v>0</v>
      </c>
      <c r="ISC16" s="238">
        <f t="shared" ref="ISC16" si="3286">ISC11*0.0425</f>
        <v>0</v>
      </c>
      <c r="ISE16" s="238">
        <f t="shared" ref="ISE16" si="3287">ISE11*0.0425</f>
        <v>0</v>
      </c>
      <c r="ISG16" s="238">
        <f t="shared" ref="ISG16" si="3288">ISG11*0.0425</f>
        <v>0</v>
      </c>
      <c r="ISI16" s="238">
        <f t="shared" ref="ISI16" si="3289">ISI11*0.0425</f>
        <v>0</v>
      </c>
      <c r="ISK16" s="238">
        <f t="shared" ref="ISK16" si="3290">ISK11*0.0425</f>
        <v>0</v>
      </c>
      <c r="ISM16" s="238">
        <f t="shared" ref="ISM16" si="3291">ISM11*0.0425</f>
        <v>0</v>
      </c>
      <c r="ISO16" s="238">
        <f t="shared" ref="ISO16" si="3292">ISO11*0.0425</f>
        <v>0</v>
      </c>
      <c r="ISQ16" s="238">
        <f t="shared" ref="ISQ16" si="3293">ISQ11*0.0425</f>
        <v>0</v>
      </c>
      <c r="ISS16" s="238">
        <f t="shared" ref="ISS16" si="3294">ISS11*0.0425</f>
        <v>0</v>
      </c>
      <c r="ISU16" s="238">
        <f t="shared" ref="ISU16" si="3295">ISU11*0.0425</f>
        <v>0</v>
      </c>
      <c r="ISW16" s="238">
        <f t="shared" ref="ISW16" si="3296">ISW11*0.0425</f>
        <v>0</v>
      </c>
      <c r="ISY16" s="238">
        <f t="shared" ref="ISY16" si="3297">ISY11*0.0425</f>
        <v>0</v>
      </c>
      <c r="ITA16" s="238">
        <f t="shared" ref="ITA16" si="3298">ITA11*0.0425</f>
        <v>0</v>
      </c>
      <c r="ITC16" s="238">
        <f t="shared" ref="ITC16" si="3299">ITC11*0.0425</f>
        <v>0</v>
      </c>
      <c r="ITE16" s="238">
        <f t="shared" ref="ITE16" si="3300">ITE11*0.0425</f>
        <v>0</v>
      </c>
      <c r="ITG16" s="238">
        <f t="shared" ref="ITG16" si="3301">ITG11*0.0425</f>
        <v>0</v>
      </c>
      <c r="ITI16" s="238">
        <f t="shared" ref="ITI16" si="3302">ITI11*0.0425</f>
        <v>0</v>
      </c>
      <c r="ITK16" s="238">
        <f t="shared" ref="ITK16" si="3303">ITK11*0.0425</f>
        <v>0</v>
      </c>
      <c r="ITM16" s="238">
        <f t="shared" ref="ITM16" si="3304">ITM11*0.0425</f>
        <v>0</v>
      </c>
      <c r="ITO16" s="238">
        <f t="shared" ref="ITO16" si="3305">ITO11*0.0425</f>
        <v>0</v>
      </c>
      <c r="ITQ16" s="238">
        <f t="shared" ref="ITQ16" si="3306">ITQ11*0.0425</f>
        <v>0</v>
      </c>
      <c r="ITS16" s="238">
        <f t="shared" ref="ITS16" si="3307">ITS11*0.0425</f>
        <v>0</v>
      </c>
      <c r="ITU16" s="238">
        <f t="shared" ref="ITU16" si="3308">ITU11*0.0425</f>
        <v>0</v>
      </c>
      <c r="ITW16" s="238">
        <f t="shared" ref="ITW16" si="3309">ITW11*0.0425</f>
        <v>0</v>
      </c>
      <c r="ITY16" s="238">
        <f t="shared" ref="ITY16" si="3310">ITY11*0.0425</f>
        <v>0</v>
      </c>
      <c r="IUA16" s="238">
        <f t="shared" ref="IUA16" si="3311">IUA11*0.0425</f>
        <v>0</v>
      </c>
      <c r="IUC16" s="238">
        <f t="shared" ref="IUC16" si="3312">IUC11*0.0425</f>
        <v>0</v>
      </c>
      <c r="IUE16" s="238">
        <f t="shared" ref="IUE16" si="3313">IUE11*0.0425</f>
        <v>0</v>
      </c>
      <c r="IUG16" s="238">
        <f t="shared" ref="IUG16" si="3314">IUG11*0.0425</f>
        <v>0</v>
      </c>
      <c r="IUI16" s="238">
        <f t="shared" ref="IUI16" si="3315">IUI11*0.0425</f>
        <v>0</v>
      </c>
      <c r="IUK16" s="238">
        <f t="shared" ref="IUK16" si="3316">IUK11*0.0425</f>
        <v>0</v>
      </c>
      <c r="IUM16" s="238">
        <f t="shared" ref="IUM16" si="3317">IUM11*0.0425</f>
        <v>0</v>
      </c>
      <c r="IUO16" s="238">
        <f t="shared" ref="IUO16" si="3318">IUO11*0.0425</f>
        <v>0</v>
      </c>
      <c r="IUQ16" s="238">
        <f t="shared" ref="IUQ16" si="3319">IUQ11*0.0425</f>
        <v>0</v>
      </c>
      <c r="IUS16" s="238">
        <f t="shared" ref="IUS16" si="3320">IUS11*0.0425</f>
        <v>0</v>
      </c>
      <c r="IUU16" s="238">
        <f t="shared" ref="IUU16" si="3321">IUU11*0.0425</f>
        <v>0</v>
      </c>
      <c r="IUW16" s="238">
        <f t="shared" ref="IUW16" si="3322">IUW11*0.0425</f>
        <v>0</v>
      </c>
      <c r="IUY16" s="238">
        <f t="shared" ref="IUY16" si="3323">IUY11*0.0425</f>
        <v>0</v>
      </c>
      <c r="IVA16" s="238">
        <f t="shared" ref="IVA16" si="3324">IVA11*0.0425</f>
        <v>0</v>
      </c>
      <c r="IVC16" s="238">
        <f t="shared" ref="IVC16" si="3325">IVC11*0.0425</f>
        <v>0</v>
      </c>
      <c r="IVE16" s="238">
        <f t="shared" ref="IVE16" si="3326">IVE11*0.0425</f>
        <v>0</v>
      </c>
      <c r="IVG16" s="238">
        <f t="shared" ref="IVG16" si="3327">IVG11*0.0425</f>
        <v>0</v>
      </c>
      <c r="IVI16" s="238">
        <f t="shared" ref="IVI16" si="3328">IVI11*0.0425</f>
        <v>0</v>
      </c>
      <c r="IVK16" s="238">
        <f t="shared" ref="IVK16" si="3329">IVK11*0.0425</f>
        <v>0</v>
      </c>
      <c r="IVM16" s="238">
        <f t="shared" ref="IVM16" si="3330">IVM11*0.0425</f>
        <v>0</v>
      </c>
      <c r="IVO16" s="238">
        <f t="shared" ref="IVO16" si="3331">IVO11*0.0425</f>
        <v>0</v>
      </c>
      <c r="IVQ16" s="238">
        <f t="shared" ref="IVQ16" si="3332">IVQ11*0.0425</f>
        <v>0</v>
      </c>
      <c r="IVS16" s="238">
        <f t="shared" ref="IVS16" si="3333">IVS11*0.0425</f>
        <v>0</v>
      </c>
      <c r="IVU16" s="238">
        <f t="shared" ref="IVU16" si="3334">IVU11*0.0425</f>
        <v>0</v>
      </c>
      <c r="IVW16" s="238">
        <f t="shared" ref="IVW16" si="3335">IVW11*0.0425</f>
        <v>0</v>
      </c>
      <c r="IVY16" s="238">
        <f t="shared" ref="IVY16" si="3336">IVY11*0.0425</f>
        <v>0</v>
      </c>
      <c r="IWA16" s="238">
        <f t="shared" ref="IWA16" si="3337">IWA11*0.0425</f>
        <v>0</v>
      </c>
      <c r="IWC16" s="238">
        <f t="shared" ref="IWC16" si="3338">IWC11*0.0425</f>
        <v>0</v>
      </c>
      <c r="IWE16" s="238">
        <f t="shared" ref="IWE16" si="3339">IWE11*0.0425</f>
        <v>0</v>
      </c>
      <c r="IWG16" s="238">
        <f t="shared" ref="IWG16" si="3340">IWG11*0.0425</f>
        <v>0</v>
      </c>
      <c r="IWI16" s="238">
        <f t="shared" ref="IWI16" si="3341">IWI11*0.0425</f>
        <v>0</v>
      </c>
      <c r="IWK16" s="238">
        <f t="shared" ref="IWK16" si="3342">IWK11*0.0425</f>
        <v>0</v>
      </c>
      <c r="IWM16" s="238">
        <f t="shared" ref="IWM16" si="3343">IWM11*0.0425</f>
        <v>0</v>
      </c>
      <c r="IWO16" s="238">
        <f t="shared" ref="IWO16" si="3344">IWO11*0.0425</f>
        <v>0</v>
      </c>
      <c r="IWQ16" s="238">
        <f t="shared" ref="IWQ16" si="3345">IWQ11*0.0425</f>
        <v>0</v>
      </c>
      <c r="IWS16" s="238">
        <f t="shared" ref="IWS16" si="3346">IWS11*0.0425</f>
        <v>0</v>
      </c>
      <c r="IWU16" s="238">
        <f t="shared" ref="IWU16" si="3347">IWU11*0.0425</f>
        <v>0</v>
      </c>
      <c r="IWW16" s="238">
        <f t="shared" ref="IWW16" si="3348">IWW11*0.0425</f>
        <v>0</v>
      </c>
      <c r="IWY16" s="238">
        <f t="shared" ref="IWY16" si="3349">IWY11*0.0425</f>
        <v>0</v>
      </c>
      <c r="IXA16" s="238">
        <f t="shared" ref="IXA16" si="3350">IXA11*0.0425</f>
        <v>0</v>
      </c>
      <c r="IXC16" s="238">
        <f t="shared" ref="IXC16" si="3351">IXC11*0.0425</f>
        <v>0</v>
      </c>
      <c r="IXE16" s="238">
        <f t="shared" ref="IXE16" si="3352">IXE11*0.0425</f>
        <v>0</v>
      </c>
      <c r="IXG16" s="238">
        <f t="shared" ref="IXG16" si="3353">IXG11*0.0425</f>
        <v>0</v>
      </c>
      <c r="IXI16" s="238">
        <f t="shared" ref="IXI16" si="3354">IXI11*0.0425</f>
        <v>0</v>
      </c>
      <c r="IXK16" s="238">
        <f t="shared" ref="IXK16" si="3355">IXK11*0.0425</f>
        <v>0</v>
      </c>
      <c r="IXM16" s="238">
        <f t="shared" ref="IXM16" si="3356">IXM11*0.0425</f>
        <v>0</v>
      </c>
      <c r="IXO16" s="238">
        <f t="shared" ref="IXO16" si="3357">IXO11*0.0425</f>
        <v>0</v>
      </c>
      <c r="IXQ16" s="238">
        <f t="shared" ref="IXQ16" si="3358">IXQ11*0.0425</f>
        <v>0</v>
      </c>
      <c r="IXS16" s="238">
        <f t="shared" ref="IXS16" si="3359">IXS11*0.0425</f>
        <v>0</v>
      </c>
      <c r="IXU16" s="238">
        <f t="shared" ref="IXU16" si="3360">IXU11*0.0425</f>
        <v>0</v>
      </c>
      <c r="IXW16" s="238">
        <f t="shared" ref="IXW16" si="3361">IXW11*0.0425</f>
        <v>0</v>
      </c>
      <c r="IXY16" s="238">
        <f t="shared" ref="IXY16" si="3362">IXY11*0.0425</f>
        <v>0</v>
      </c>
      <c r="IYA16" s="238">
        <f t="shared" ref="IYA16" si="3363">IYA11*0.0425</f>
        <v>0</v>
      </c>
      <c r="IYC16" s="238">
        <f t="shared" ref="IYC16" si="3364">IYC11*0.0425</f>
        <v>0</v>
      </c>
      <c r="IYE16" s="238">
        <f t="shared" ref="IYE16" si="3365">IYE11*0.0425</f>
        <v>0</v>
      </c>
      <c r="IYG16" s="238">
        <f t="shared" ref="IYG16" si="3366">IYG11*0.0425</f>
        <v>0</v>
      </c>
      <c r="IYI16" s="238">
        <f t="shared" ref="IYI16" si="3367">IYI11*0.0425</f>
        <v>0</v>
      </c>
      <c r="IYK16" s="238">
        <f t="shared" ref="IYK16" si="3368">IYK11*0.0425</f>
        <v>0</v>
      </c>
      <c r="IYM16" s="238">
        <f t="shared" ref="IYM16" si="3369">IYM11*0.0425</f>
        <v>0</v>
      </c>
      <c r="IYO16" s="238">
        <f t="shared" ref="IYO16" si="3370">IYO11*0.0425</f>
        <v>0</v>
      </c>
      <c r="IYQ16" s="238">
        <f t="shared" ref="IYQ16" si="3371">IYQ11*0.0425</f>
        <v>0</v>
      </c>
      <c r="IYS16" s="238">
        <f t="shared" ref="IYS16" si="3372">IYS11*0.0425</f>
        <v>0</v>
      </c>
      <c r="IYU16" s="238">
        <f t="shared" ref="IYU16" si="3373">IYU11*0.0425</f>
        <v>0</v>
      </c>
      <c r="IYW16" s="238">
        <f t="shared" ref="IYW16" si="3374">IYW11*0.0425</f>
        <v>0</v>
      </c>
      <c r="IYY16" s="238">
        <f t="shared" ref="IYY16" si="3375">IYY11*0.0425</f>
        <v>0</v>
      </c>
      <c r="IZA16" s="238">
        <f t="shared" ref="IZA16" si="3376">IZA11*0.0425</f>
        <v>0</v>
      </c>
      <c r="IZC16" s="238">
        <f t="shared" ref="IZC16" si="3377">IZC11*0.0425</f>
        <v>0</v>
      </c>
      <c r="IZE16" s="238">
        <f t="shared" ref="IZE16" si="3378">IZE11*0.0425</f>
        <v>0</v>
      </c>
      <c r="IZG16" s="238">
        <f t="shared" ref="IZG16" si="3379">IZG11*0.0425</f>
        <v>0</v>
      </c>
      <c r="IZI16" s="238">
        <f t="shared" ref="IZI16" si="3380">IZI11*0.0425</f>
        <v>0</v>
      </c>
      <c r="IZK16" s="238">
        <f t="shared" ref="IZK16" si="3381">IZK11*0.0425</f>
        <v>0</v>
      </c>
      <c r="IZM16" s="238">
        <f t="shared" ref="IZM16" si="3382">IZM11*0.0425</f>
        <v>0</v>
      </c>
      <c r="IZO16" s="238">
        <f t="shared" ref="IZO16" si="3383">IZO11*0.0425</f>
        <v>0</v>
      </c>
      <c r="IZQ16" s="238">
        <f t="shared" ref="IZQ16" si="3384">IZQ11*0.0425</f>
        <v>0</v>
      </c>
      <c r="IZS16" s="238">
        <f t="shared" ref="IZS16" si="3385">IZS11*0.0425</f>
        <v>0</v>
      </c>
      <c r="IZU16" s="238">
        <f t="shared" ref="IZU16" si="3386">IZU11*0.0425</f>
        <v>0</v>
      </c>
      <c r="IZW16" s="238">
        <f t="shared" ref="IZW16" si="3387">IZW11*0.0425</f>
        <v>0</v>
      </c>
      <c r="IZY16" s="238">
        <f t="shared" ref="IZY16" si="3388">IZY11*0.0425</f>
        <v>0</v>
      </c>
      <c r="JAA16" s="238">
        <f t="shared" ref="JAA16" si="3389">JAA11*0.0425</f>
        <v>0</v>
      </c>
      <c r="JAC16" s="238">
        <f t="shared" ref="JAC16" si="3390">JAC11*0.0425</f>
        <v>0</v>
      </c>
      <c r="JAE16" s="238">
        <f t="shared" ref="JAE16" si="3391">JAE11*0.0425</f>
        <v>0</v>
      </c>
      <c r="JAG16" s="238">
        <f t="shared" ref="JAG16" si="3392">JAG11*0.0425</f>
        <v>0</v>
      </c>
      <c r="JAI16" s="238">
        <f t="shared" ref="JAI16" si="3393">JAI11*0.0425</f>
        <v>0</v>
      </c>
      <c r="JAK16" s="238">
        <f t="shared" ref="JAK16" si="3394">JAK11*0.0425</f>
        <v>0</v>
      </c>
      <c r="JAM16" s="238">
        <f t="shared" ref="JAM16" si="3395">JAM11*0.0425</f>
        <v>0</v>
      </c>
      <c r="JAO16" s="238">
        <f t="shared" ref="JAO16" si="3396">JAO11*0.0425</f>
        <v>0</v>
      </c>
      <c r="JAQ16" s="238">
        <f t="shared" ref="JAQ16" si="3397">JAQ11*0.0425</f>
        <v>0</v>
      </c>
      <c r="JAS16" s="238">
        <f t="shared" ref="JAS16" si="3398">JAS11*0.0425</f>
        <v>0</v>
      </c>
      <c r="JAU16" s="238">
        <f t="shared" ref="JAU16" si="3399">JAU11*0.0425</f>
        <v>0</v>
      </c>
      <c r="JAW16" s="238">
        <f t="shared" ref="JAW16" si="3400">JAW11*0.0425</f>
        <v>0</v>
      </c>
      <c r="JAY16" s="238">
        <f t="shared" ref="JAY16" si="3401">JAY11*0.0425</f>
        <v>0</v>
      </c>
      <c r="JBA16" s="238">
        <f t="shared" ref="JBA16" si="3402">JBA11*0.0425</f>
        <v>0</v>
      </c>
      <c r="JBC16" s="238">
        <f t="shared" ref="JBC16" si="3403">JBC11*0.0425</f>
        <v>0</v>
      </c>
      <c r="JBE16" s="238">
        <f t="shared" ref="JBE16" si="3404">JBE11*0.0425</f>
        <v>0</v>
      </c>
      <c r="JBG16" s="238">
        <f t="shared" ref="JBG16" si="3405">JBG11*0.0425</f>
        <v>0</v>
      </c>
      <c r="JBI16" s="238">
        <f t="shared" ref="JBI16" si="3406">JBI11*0.0425</f>
        <v>0</v>
      </c>
      <c r="JBK16" s="238">
        <f t="shared" ref="JBK16" si="3407">JBK11*0.0425</f>
        <v>0</v>
      </c>
      <c r="JBM16" s="238">
        <f t="shared" ref="JBM16" si="3408">JBM11*0.0425</f>
        <v>0</v>
      </c>
      <c r="JBO16" s="238">
        <f t="shared" ref="JBO16" si="3409">JBO11*0.0425</f>
        <v>0</v>
      </c>
      <c r="JBQ16" s="238">
        <f t="shared" ref="JBQ16" si="3410">JBQ11*0.0425</f>
        <v>0</v>
      </c>
      <c r="JBS16" s="238">
        <f t="shared" ref="JBS16" si="3411">JBS11*0.0425</f>
        <v>0</v>
      </c>
      <c r="JBU16" s="238">
        <f t="shared" ref="JBU16" si="3412">JBU11*0.0425</f>
        <v>0</v>
      </c>
      <c r="JBW16" s="238">
        <f t="shared" ref="JBW16" si="3413">JBW11*0.0425</f>
        <v>0</v>
      </c>
      <c r="JBY16" s="238">
        <f t="shared" ref="JBY16" si="3414">JBY11*0.0425</f>
        <v>0</v>
      </c>
      <c r="JCA16" s="238">
        <f t="shared" ref="JCA16" si="3415">JCA11*0.0425</f>
        <v>0</v>
      </c>
      <c r="JCC16" s="238">
        <f t="shared" ref="JCC16" si="3416">JCC11*0.0425</f>
        <v>0</v>
      </c>
      <c r="JCE16" s="238">
        <f t="shared" ref="JCE16" si="3417">JCE11*0.0425</f>
        <v>0</v>
      </c>
      <c r="JCG16" s="238">
        <f t="shared" ref="JCG16" si="3418">JCG11*0.0425</f>
        <v>0</v>
      </c>
      <c r="JCI16" s="238">
        <f t="shared" ref="JCI16" si="3419">JCI11*0.0425</f>
        <v>0</v>
      </c>
      <c r="JCK16" s="238">
        <f t="shared" ref="JCK16" si="3420">JCK11*0.0425</f>
        <v>0</v>
      </c>
      <c r="JCM16" s="238">
        <f t="shared" ref="JCM16" si="3421">JCM11*0.0425</f>
        <v>0</v>
      </c>
      <c r="JCO16" s="238">
        <f t="shared" ref="JCO16" si="3422">JCO11*0.0425</f>
        <v>0</v>
      </c>
      <c r="JCQ16" s="238">
        <f t="shared" ref="JCQ16" si="3423">JCQ11*0.0425</f>
        <v>0</v>
      </c>
      <c r="JCS16" s="238">
        <f t="shared" ref="JCS16" si="3424">JCS11*0.0425</f>
        <v>0</v>
      </c>
      <c r="JCU16" s="238">
        <f t="shared" ref="JCU16" si="3425">JCU11*0.0425</f>
        <v>0</v>
      </c>
      <c r="JCW16" s="238">
        <f t="shared" ref="JCW16" si="3426">JCW11*0.0425</f>
        <v>0</v>
      </c>
      <c r="JCY16" s="238">
        <f t="shared" ref="JCY16" si="3427">JCY11*0.0425</f>
        <v>0</v>
      </c>
      <c r="JDA16" s="238">
        <f t="shared" ref="JDA16" si="3428">JDA11*0.0425</f>
        <v>0</v>
      </c>
      <c r="JDC16" s="238">
        <f t="shared" ref="JDC16" si="3429">JDC11*0.0425</f>
        <v>0</v>
      </c>
      <c r="JDE16" s="238">
        <f t="shared" ref="JDE16" si="3430">JDE11*0.0425</f>
        <v>0</v>
      </c>
      <c r="JDG16" s="238">
        <f t="shared" ref="JDG16" si="3431">JDG11*0.0425</f>
        <v>0</v>
      </c>
      <c r="JDI16" s="238">
        <f t="shared" ref="JDI16" si="3432">JDI11*0.0425</f>
        <v>0</v>
      </c>
      <c r="JDK16" s="238">
        <f t="shared" ref="JDK16" si="3433">JDK11*0.0425</f>
        <v>0</v>
      </c>
      <c r="JDM16" s="238">
        <f t="shared" ref="JDM16" si="3434">JDM11*0.0425</f>
        <v>0</v>
      </c>
      <c r="JDO16" s="238">
        <f t="shared" ref="JDO16" si="3435">JDO11*0.0425</f>
        <v>0</v>
      </c>
      <c r="JDQ16" s="238">
        <f t="shared" ref="JDQ16" si="3436">JDQ11*0.0425</f>
        <v>0</v>
      </c>
      <c r="JDS16" s="238">
        <f t="shared" ref="JDS16" si="3437">JDS11*0.0425</f>
        <v>0</v>
      </c>
      <c r="JDU16" s="238">
        <f t="shared" ref="JDU16" si="3438">JDU11*0.0425</f>
        <v>0</v>
      </c>
      <c r="JDW16" s="238">
        <f t="shared" ref="JDW16" si="3439">JDW11*0.0425</f>
        <v>0</v>
      </c>
      <c r="JDY16" s="238">
        <f t="shared" ref="JDY16" si="3440">JDY11*0.0425</f>
        <v>0</v>
      </c>
      <c r="JEA16" s="238">
        <f t="shared" ref="JEA16" si="3441">JEA11*0.0425</f>
        <v>0</v>
      </c>
      <c r="JEC16" s="238">
        <f t="shared" ref="JEC16" si="3442">JEC11*0.0425</f>
        <v>0</v>
      </c>
      <c r="JEE16" s="238">
        <f t="shared" ref="JEE16" si="3443">JEE11*0.0425</f>
        <v>0</v>
      </c>
      <c r="JEG16" s="238">
        <f t="shared" ref="JEG16" si="3444">JEG11*0.0425</f>
        <v>0</v>
      </c>
      <c r="JEI16" s="238">
        <f t="shared" ref="JEI16" si="3445">JEI11*0.0425</f>
        <v>0</v>
      </c>
      <c r="JEK16" s="238">
        <f t="shared" ref="JEK16" si="3446">JEK11*0.0425</f>
        <v>0</v>
      </c>
      <c r="JEM16" s="238">
        <f t="shared" ref="JEM16" si="3447">JEM11*0.0425</f>
        <v>0</v>
      </c>
      <c r="JEO16" s="238">
        <f t="shared" ref="JEO16" si="3448">JEO11*0.0425</f>
        <v>0</v>
      </c>
      <c r="JEQ16" s="238">
        <f t="shared" ref="JEQ16" si="3449">JEQ11*0.0425</f>
        <v>0</v>
      </c>
      <c r="JES16" s="238">
        <f t="shared" ref="JES16" si="3450">JES11*0.0425</f>
        <v>0</v>
      </c>
      <c r="JEU16" s="238">
        <f t="shared" ref="JEU16" si="3451">JEU11*0.0425</f>
        <v>0</v>
      </c>
      <c r="JEW16" s="238">
        <f t="shared" ref="JEW16" si="3452">JEW11*0.0425</f>
        <v>0</v>
      </c>
      <c r="JEY16" s="238">
        <f t="shared" ref="JEY16" si="3453">JEY11*0.0425</f>
        <v>0</v>
      </c>
      <c r="JFA16" s="238">
        <f t="shared" ref="JFA16" si="3454">JFA11*0.0425</f>
        <v>0</v>
      </c>
      <c r="JFC16" s="238">
        <f t="shared" ref="JFC16" si="3455">JFC11*0.0425</f>
        <v>0</v>
      </c>
      <c r="JFE16" s="238">
        <f t="shared" ref="JFE16" si="3456">JFE11*0.0425</f>
        <v>0</v>
      </c>
      <c r="JFG16" s="238">
        <f t="shared" ref="JFG16" si="3457">JFG11*0.0425</f>
        <v>0</v>
      </c>
      <c r="JFI16" s="238">
        <f t="shared" ref="JFI16" si="3458">JFI11*0.0425</f>
        <v>0</v>
      </c>
      <c r="JFK16" s="238">
        <f t="shared" ref="JFK16" si="3459">JFK11*0.0425</f>
        <v>0</v>
      </c>
      <c r="JFM16" s="238">
        <f t="shared" ref="JFM16" si="3460">JFM11*0.0425</f>
        <v>0</v>
      </c>
      <c r="JFO16" s="238">
        <f t="shared" ref="JFO16" si="3461">JFO11*0.0425</f>
        <v>0</v>
      </c>
      <c r="JFQ16" s="238">
        <f t="shared" ref="JFQ16" si="3462">JFQ11*0.0425</f>
        <v>0</v>
      </c>
      <c r="JFS16" s="238">
        <f t="shared" ref="JFS16" si="3463">JFS11*0.0425</f>
        <v>0</v>
      </c>
      <c r="JFU16" s="238">
        <f t="shared" ref="JFU16" si="3464">JFU11*0.0425</f>
        <v>0</v>
      </c>
      <c r="JFW16" s="238">
        <f t="shared" ref="JFW16" si="3465">JFW11*0.0425</f>
        <v>0</v>
      </c>
      <c r="JFY16" s="238">
        <f t="shared" ref="JFY16" si="3466">JFY11*0.0425</f>
        <v>0</v>
      </c>
      <c r="JGA16" s="238">
        <f t="shared" ref="JGA16" si="3467">JGA11*0.0425</f>
        <v>0</v>
      </c>
      <c r="JGC16" s="238">
        <f t="shared" ref="JGC16" si="3468">JGC11*0.0425</f>
        <v>0</v>
      </c>
      <c r="JGE16" s="238">
        <f t="shared" ref="JGE16" si="3469">JGE11*0.0425</f>
        <v>0</v>
      </c>
      <c r="JGG16" s="238">
        <f t="shared" ref="JGG16" si="3470">JGG11*0.0425</f>
        <v>0</v>
      </c>
      <c r="JGI16" s="238">
        <f t="shared" ref="JGI16" si="3471">JGI11*0.0425</f>
        <v>0</v>
      </c>
      <c r="JGK16" s="238">
        <f t="shared" ref="JGK16" si="3472">JGK11*0.0425</f>
        <v>0</v>
      </c>
      <c r="JGM16" s="238">
        <f t="shared" ref="JGM16" si="3473">JGM11*0.0425</f>
        <v>0</v>
      </c>
      <c r="JGO16" s="238">
        <f t="shared" ref="JGO16" si="3474">JGO11*0.0425</f>
        <v>0</v>
      </c>
      <c r="JGQ16" s="238">
        <f t="shared" ref="JGQ16" si="3475">JGQ11*0.0425</f>
        <v>0</v>
      </c>
      <c r="JGS16" s="238">
        <f t="shared" ref="JGS16" si="3476">JGS11*0.0425</f>
        <v>0</v>
      </c>
      <c r="JGU16" s="238">
        <f t="shared" ref="JGU16" si="3477">JGU11*0.0425</f>
        <v>0</v>
      </c>
      <c r="JGW16" s="238">
        <f t="shared" ref="JGW16" si="3478">JGW11*0.0425</f>
        <v>0</v>
      </c>
      <c r="JGY16" s="238">
        <f t="shared" ref="JGY16" si="3479">JGY11*0.0425</f>
        <v>0</v>
      </c>
      <c r="JHA16" s="238">
        <f t="shared" ref="JHA16" si="3480">JHA11*0.0425</f>
        <v>0</v>
      </c>
      <c r="JHC16" s="238">
        <f t="shared" ref="JHC16" si="3481">JHC11*0.0425</f>
        <v>0</v>
      </c>
      <c r="JHE16" s="238">
        <f t="shared" ref="JHE16" si="3482">JHE11*0.0425</f>
        <v>0</v>
      </c>
      <c r="JHG16" s="238">
        <f t="shared" ref="JHG16" si="3483">JHG11*0.0425</f>
        <v>0</v>
      </c>
      <c r="JHI16" s="238">
        <f t="shared" ref="JHI16" si="3484">JHI11*0.0425</f>
        <v>0</v>
      </c>
      <c r="JHK16" s="238">
        <f t="shared" ref="JHK16" si="3485">JHK11*0.0425</f>
        <v>0</v>
      </c>
      <c r="JHM16" s="238">
        <f t="shared" ref="JHM16" si="3486">JHM11*0.0425</f>
        <v>0</v>
      </c>
      <c r="JHO16" s="238">
        <f t="shared" ref="JHO16" si="3487">JHO11*0.0425</f>
        <v>0</v>
      </c>
      <c r="JHQ16" s="238">
        <f t="shared" ref="JHQ16" si="3488">JHQ11*0.0425</f>
        <v>0</v>
      </c>
      <c r="JHS16" s="238">
        <f t="shared" ref="JHS16" si="3489">JHS11*0.0425</f>
        <v>0</v>
      </c>
      <c r="JHU16" s="238">
        <f t="shared" ref="JHU16" si="3490">JHU11*0.0425</f>
        <v>0</v>
      </c>
      <c r="JHW16" s="238">
        <f t="shared" ref="JHW16" si="3491">JHW11*0.0425</f>
        <v>0</v>
      </c>
      <c r="JHY16" s="238">
        <f t="shared" ref="JHY16" si="3492">JHY11*0.0425</f>
        <v>0</v>
      </c>
      <c r="JIA16" s="238">
        <f t="shared" ref="JIA16" si="3493">JIA11*0.0425</f>
        <v>0</v>
      </c>
      <c r="JIC16" s="238">
        <f t="shared" ref="JIC16" si="3494">JIC11*0.0425</f>
        <v>0</v>
      </c>
      <c r="JIE16" s="238">
        <f t="shared" ref="JIE16" si="3495">JIE11*0.0425</f>
        <v>0</v>
      </c>
      <c r="JIG16" s="238">
        <f t="shared" ref="JIG16" si="3496">JIG11*0.0425</f>
        <v>0</v>
      </c>
      <c r="JII16" s="238">
        <f t="shared" ref="JII16" si="3497">JII11*0.0425</f>
        <v>0</v>
      </c>
      <c r="JIK16" s="238">
        <f t="shared" ref="JIK16" si="3498">JIK11*0.0425</f>
        <v>0</v>
      </c>
      <c r="JIM16" s="238">
        <f t="shared" ref="JIM16" si="3499">JIM11*0.0425</f>
        <v>0</v>
      </c>
      <c r="JIO16" s="238">
        <f t="shared" ref="JIO16" si="3500">JIO11*0.0425</f>
        <v>0</v>
      </c>
      <c r="JIQ16" s="238">
        <f t="shared" ref="JIQ16" si="3501">JIQ11*0.0425</f>
        <v>0</v>
      </c>
      <c r="JIS16" s="238">
        <f t="shared" ref="JIS16" si="3502">JIS11*0.0425</f>
        <v>0</v>
      </c>
      <c r="JIU16" s="238">
        <f t="shared" ref="JIU16" si="3503">JIU11*0.0425</f>
        <v>0</v>
      </c>
      <c r="JIW16" s="238">
        <f t="shared" ref="JIW16" si="3504">JIW11*0.0425</f>
        <v>0</v>
      </c>
      <c r="JIY16" s="238">
        <f t="shared" ref="JIY16" si="3505">JIY11*0.0425</f>
        <v>0</v>
      </c>
      <c r="JJA16" s="238">
        <f t="shared" ref="JJA16" si="3506">JJA11*0.0425</f>
        <v>0</v>
      </c>
      <c r="JJC16" s="238">
        <f t="shared" ref="JJC16" si="3507">JJC11*0.0425</f>
        <v>0</v>
      </c>
      <c r="JJE16" s="238">
        <f t="shared" ref="JJE16" si="3508">JJE11*0.0425</f>
        <v>0</v>
      </c>
      <c r="JJG16" s="238">
        <f t="shared" ref="JJG16" si="3509">JJG11*0.0425</f>
        <v>0</v>
      </c>
      <c r="JJI16" s="238">
        <f t="shared" ref="JJI16" si="3510">JJI11*0.0425</f>
        <v>0</v>
      </c>
      <c r="JJK16" s="238">
        <f t="shared" ref="JJK16" si="3511">JJK11*0.0425</f>
        <v>0</v>
      </c>
      <c r="JJM16" s="238">
        <f t="shared" ref="JJM16" si="3512">JJM11*0.0425</f>
        <v>0</v>
      </c>
      <c r="JJO16" s="238">
        <f t="shared" ref="JJO16" si="3513">JJO11*0.0425</f>
        <v>0</v>
      </c>
      <c r="JJQ16" s="238">
        <f t="shared" ref="JJQ16" si="3514">JJQ11*0.0425</f>
        <v>0</v>
      </c>
      <c r="JJS16" s="238">
        <f t="shared" ref="JJS16" si="3515">JJS11*0.0425</f>
        <v>0</v>
      </c>
      <c r="JJU16" s="238">
        <f t="shared" ref="JJU16" si="3516">JJU11*0.0425</f>
        <v>0</v>
      </c>
      <c r="JJW16" s="238">
        <f t="shared" ref="JJW16" si="3517">JJW11*0.0425</f>
        <v>0</v>
      </c>
      <c r="JJY16" s="238">
        <f t="shared" ref="JJY16" si="3518">JJY11*0.0425</f>
        <v>0</v>
      </c>
      <c r="JKA16" s="238">
        <f t="shared" ref="JKA16" si="3519">JKA11*0.0425</f>
        <v>0</v>
      </c>
      <c r="JKC16" s="238">
        <f t="shared" ref="JKC16" si="3520">JKC11*0.0425</f>
        <v>0</v>
      </c>
      <c r="JKE16" s="238">
        <f t="shared" ref="JKE16" si="3521">JKE11*0.0425</f>
        <v>0</v>
      </c>
      <c r="JKG16" s="238">
        <f t="shared" ref="JKG16" si="3522">JKG11*0.0425</f>
        <v>0</v>
      </c>
      <c r="JKI16" s="238">
        <f t="shared" ref="JKI16" si="3523">JKI11*0.0425</f>
        <v>0</v>
      </c>
      <c r="JKK16" s="238">
        <f t="shared" ref="JKK16" si="3524">JKK11*0.0425</f>
        <v>0</v>
      </c>
      <c r="JKM16" s="238">
        <f t="shared" ref="JKM16" si="3525">JKM11*0.0425</f>
        <v>0</v>
      </c>
      <c r="JKO16" s="238">
        <f t="shared" ref="JKO16" si="3526">JKO11*0.0425</f>
        <v>0</v>
      </c>
      <c r="JKQ16" s="238">
        <f t="shared" ref="JKQ16" si="3527">JKQ11*0.0425</f>
        <v>0</v>
      </c>
      <c r="JKS16" s="238">
        <f t="shared" ref="JKS16" si="3528">JKS11*0.0425</f>
        <v>0</v>
      </c>
      <c r="JKU16" s="238">
        <f t="shared" ref="JKU16" si="3529">JKU11*0.0425</f>
        <v>0</v>
      </c>
      <c r="JKW16" s="238">
        <f t="shared" ref="JKW16" si="3530">JKW11*0.0425</f>
        <v>0</v>
      </c>
      <c r="JKY16" s="238">
        <f t="shared" ref="JKY16" si="3531">JKY11*0.0425</f>
        <v>0</v>
      </c>
      <c r="JLA16" s="238">
        <f t="shared" ref="JLA16" si="3532">JLA11*0.0425</f>
        <v>0</v>
      </c>
      <c r="JLC16" s="238">
        <f t="shared" ref="JLC16" si="3533">JLC11*0.0425</f>
        <v>0</v>
      </c>
      <c r="JLE16" s="238">
        <f t="shared" ref="JLE16" si="3534">JLE11*0.0425</f>
        <v>0</v>
      </c>
      <c r="JLG16" s="238">
        <f t="shared" ref="JLG16" si="3535">JLG11*0.0425</f>
        <v>0</v>
      </c>
      <c r="JLI16" s="238">
        <f t="shared" ref="JLI16" si="3536">JLI11*0.0425</f>
        <v>0</v>
      </c>
      <c r="JLK16" s="238">
        <f t="shared" ref="JLK16" si="3537">JLK11*0.0425</f>
        <v>0</v>
      </c>
      <c r="JLM16" s="238">
        <f t="shared" ref="JLM16" si="3538">JLM11*0.0425</f>
        <v>0</v>
      </c>
      <c r="JLO16" s="238">
        <f t="shared" ref="JLO16" si="3539">JLO11*0.0425</f>
        <v>0</v>
      </c>
      <c r="JLQ16" s="238">
        <f t="shared" ref="JLQ16" si="3540">JLQ11*0.0425</f>
        <v>0</v>
      </c>
      <c r="JLS16" s="238">
        <f t="shared" ref="JLS16" si="3541">JLS11*0.0425</f>
        <v>0</v>
      </c>
      <c r="JLU16" s="238">
        <f t="shared" ref="JLU16" si="3542">JLU11*0.0425</f>
        <v>0</v>
      </c>
      <c r="JLW16" s="238">
        <f t="shared" ref="JLW16" si="3543">JLW11*0.0425</f>
        <v>0</v>
      </c>
      <c r="JLY16" s="238">
        <f t="shared" ref="JLY16" si="3544">JLY11*0.0425</f>
        <v>0</v>
      </c>
      <c r="JMA16" s="238">
        <f t="shared" ref="JMA16" si="3545">JMA11*0.0425</f>
        <v>0</v>
      </c>
      <c r="JMC16" s="238">
        <f t="shared" ref="JMC16" si="3546">JMC11*0.0425</f>
        <v>0</v>
      </c>
      <c r="JME16" s="238">
        <f t="shared" ref="JME16" si="3547">JME11*0.0425</f>
        <v>0</v>
      </c>
      <c r="JMG16" s="238">
        <f t="shared" ref="JMG16" si="3548">JMG11*0.0425</f>
        <v>0</v>
      </c>
      <c r="JMI16" s="238">
        <f t="shared" ref="JMI16" si="3549">JMI11*0.0425</f>
        <v>0</v>
      </c>
      <c r="JMK16" s="238">
        <f t="shared" ref="JMK16" si="3550">JMK11*0.0425</f>
        <v>0</v>
      </c>
      <c r="JMM16" s="238">
        <f t="shared" ref="JMM16" si="3551">JMM11*0.0425</f>
        <v>0</v>
      </c>
      <c r="JMO16" s="238">
        <f t="shared" ref="JMO16" si="3552">JMO11*0.0425</f>
        <v>0</v>
      </c>
      <c r="JMQ16" s="238">
        <f t="shared" ref="JMQ16" si="3553">JMQ11*0.0425</f>
        <v>0</v>
      </c>
      <c r="JMS16" s="238">
        <f t="shared" ref="JMS16" si="3554">JMS11*0.0425</f>
        <v>0</v>
      </c>
      <c r="JMU16" s="238">
        <f t="shared" ref="JMU16" si="3555">JMU11*0.0425</f>
        <v>0</v>
      </c>
      <c r="JMW16" s="238">
        <f t="shared" ref="JMW16" si="3556">JMW11*0.0425</f>
        <v>0</v>
      </c>
      <c r="JMY16" s="238">
        <f t="shared" ref="JMY16" si="3557">JMY11*0.0425</f>
        <v>0</v>
      </c>
      <c r="JNA16" s="238">
        <f t="shared" ref="JNA16" si="3558">JNA11*0.0425</f>
        <v>0</v>
      </c>
      <c r="JNC16" s="238">
        <f t="shared" ref="JNC16" si="3559">JNC11*0.0425</f>
        <v>0</v>
      </c>
      <c r="JNE16" s="238">
        <f t="shared" ref="JNE16" si="3560">JNE11*0.0425</f>
        <v>0</v>
      </c>
      <c r="JNG16" s="238">
        <f t="shared" ref="JNG16" si="3561">JNG11*0.0425</f>
        <v>0</v>
      </c>
      <c r="JNI16" s="238">
        <f t="shared" ref="JNI16" si="3562">JNI11*0.0425</f>
        <v>0</v>
      </c>
      <c r="JNK16" s="238">
        <f t="shared" ref="JNK16" si="3563">JNK11*0.0425</f>
        <v>0</v>
      </c>
      <c r="JNM16" s="238">
        <f t="shared" ref="JNM16" si="3564">JNM11*0.0425</f>
        <v>0</v>
      </c>
      <c r="JNO16" s="238">
        <f t="shared" ref="JNO16" si="3565">JNO11*0.0425</f>
        <v>0</v>
      </c>
      <c r="JNQ16" s="238">
        <f t="shared" ref="JNQ16" si="3566">JNQ11*0.0425</f>
        <v>0</v>
      </c>
      <c r="JNS16" s="238">
        <f t="shared" ref="JNS16" si="3567">JNS11*0.0425</f>
        <v>0</v>
      </c>
      <c r="JNU16" s="238">
        <f t="shared" ref="JNU16" si="3568">JNU11*0.0425</f>
        <v>0</v>
      </c>
      <c r="JNW16" s="238">
        <f t="shared" ref="JNW16" si="3569">JNW11*0.0425</f>
        <v>0</v>
      </c>
      <c r="JNY16" s="238">
        <f t="shared" ref="JNY16" si="3570">JNY11*0.0425</f>
        <v>0</v>
      </c>
      <c r="JOA16" s="238">
        <f t="shared" ref="JOA16" si="3571">JOA11*0.0425</f>
        <v>0</v>
      </c>
      <c r="JOC16" s="238">
        <f t="shared" ref="JOC16" si="3572">JOC11*0.0425</f>
        <v>0</v>
      </c>
      <c r="JOE16" s="238">
        <f t="shared" ref="JOE16" si="3573">JOE11*0.0425</f>
        <v>0</v>
      </c>
      <c r="JOG16" s="238">
        <f t="shared" ref="JOG16" si="3574">JOG11*0.0425</f>
        <v>0</v>
      </c>
      <c r="JOI16" s="238">
        <f t="shared" ref="JOI16" si="3575">JOI11*0.0425</f>
        <v>0</v>
      </c>
      <c r="JOK16" s="238">
        <f t="shared" ref="JOK16" si="3576">JOK11*0.0425</f>
        <v>0</v>
      </c>
      <c r="JOM16" s="238">
        <f t="shared" ref="JOM16" si="3577">JOM11*0.0425</f>
        <v>0</v>
      </c>
      <c r="JOO16" s="238">
        <f t="shared" ref="JOO16" si="3578">JOO11*0.0425</f>
        <v>0</v>
      </c>
      <c r="JOQ16" s="238">
        <f t="shared" ref="JOQ16" si="3579">JOQ11*0.0425</f>
        <v>0</v>
      </c>
      <c r="JOS16" s="238">
        <f t="shared" ref="JOS16" si="3580">JOS11*0.0425</f>
        <v>0</v>
      </c>
      <c r="JOU16" s="238">
        <f t="shared" ref="JOU16" si="3581">JOU11*0.0425</f>
        <v>0</v>
      </c>
      <c r="JOW16" s="238">
        <f t="shared" ref="JOW16" si="3582">JOW11*0.0425</f>
        <v>0</v>
      </c>
      <c r="JOY16" s="238">
        <f t="shared" ref="JOY16" si="3583">JOY11*0.0425</f>
        <v>0</v>
      </c>
      <c r="JPA16" s="238">
        <f t="shared" ref="JPA16" si="3584">JPA11*0.0425</f>
        <v>0</v>
      </c>
      <c r="JPC16" s="238">
        <f t="shared" ref="JPC16" si="3585">JPC11*0.0425</f>
        <v>0</v>
      </c>
      <c r="JPE16" s="238">
        <f t="shared" ref="JPE16" si="3586">JPE11*0.0425</f>
        <v>0</v>
      </c>
      <c r="JPG16" s="238">
        <f t="shared" ref="JPG16" si="3587">JPG11*0.0425</f>
        <v>0</v>
      </c>
      <c r="JPI16" s="238">
        <f t="shared" ref="JPI16" si="3588">JPI11*0.0425</f>
        <v>0</v>
      </c>
      <c r="JPK16" s="238">
        <f t="shared" ref="JPK16" si="3589">JPK11*0.0425</f>
        <v>0</v>
      </c>
      <c r="JPM16" s="238">
        <f t="shared" ref="JPM16" si="3590">JPM11*0.0425</f>
        <v>0</v>
      </c>
      <c r="JPO16" s="238">
        <f t="shared" ref="JPO16" si="3591">JPO11*0.0425</f>
        <v>0</v>
      </c>
      <c r="JPQ16" s="238">
        <f t="shared" ref="JPQ16" si="3592">JPQ11*0.0425</f>
        <v>0</v>
      </c>
      <c r="JPS16" s="238">
        <f t="shared" ref="JPS16" si="3593">JPS11*0.0425</f>
        <v>0</v>
      </c>
      <c r="JPU16" s="238">
        <f t="shared" ref="JPU16" si="3594">JPU11*0.0425</f>
        <v>0</v>
      </c>
      <c r="JPW16" s="238">
        <f t="shared" ref="JPW16" si="3595">JPW11*0.0425</f>
        <v>0</v>
      </c>
      <c r="JPY16" s="238">
        <f t="shared" ref="JPY16" si="3596">JPY11*0.0425</f>
        <v>0</v>
      </c>
      <c r="JQA16" s="238">
        <f t="shared" ref="JQA16" si="3597">JQA11*0.0425</f>
        <v>0</v>
      </c>
      <c r="JQC16" s="238">
        <f t="shared" ref="JQC16" si="3598">JQC11*0.0425</f>
        <v>0</v>
      </c>
      <c r="JQE16" s="238">
        <f t="shared" ref="JQE16" si="3599">JQE11*0.0425</f>
        <v>0</v>
      </c>
      <c r="JQG16" s="238">
        <f t="shared" ref="JQG16" si="3600">JQG11*0.0425</f>
        <v>0</v>
      </c>
      <c r="JQI16" s="238">
        <f t="shared" ref="JQI16" si="3601">JQI11*0.0425</f>
        <v>0</v>
      </c>
      <c r="JQK16" s="238">
        <f t="shared" ref="JQK16" si="3602">JQK11*0.0425</f>
        <v>0</v>
      </c>
      <c r="JQM16" s="238">
        <f t="shared" ref="JQM16" si="3603">JQM11*0.0425</f>
        <v>0</v>
      </c>
      <c r="JQO16" s="238">
        <f t="shared" ref="JQO16" si="3604">JQO11*0.0425</f>
        <v>0</v>
      </c>
      <c r="JQQ16" s="238">
        <f t="shared" ref="JQQ16" si="3605">JQQ11*0.0425</f>
        <v>0</v>
      </c>
      <c r="JQS16" s="238">
        <f t="shared" ref="JQS16" si="3606">JQS11*0.0425</f>
        <v>0</v>
      </c>
      <c r="JQU16" s="238">
        <f t="shared" ref="JQU16" si="3607">JQU11*0.0425</f>
        <v>0</v>
      </c>
      <c r="JQW16" s="238">
        <f t="shared" ref="JQW16" si="3608">JQW11*0.0425</f>
        <v>0</v>
      </c>
      <c r="JQY16" s="238">
        <f t="shared" ref="JQY16" si="3609">JQY11*0.0425</f>
        <v>0</v>
      </c>
      <c r="JRA16" s="238">
        <f t="shared" ref="JRA16" si="3610">JRA11*0.0425</f>
        <v>0</v>
      </c>
      <c r="JRC16" s="238">
        <f t="shared" ref="JRC16" si="3611">JRC11*0.0425</f>
        <v>0</v>
      </c>
      <c r="JRE16" s="238">
        <f t="shared" ref="JRE16" si="3612">JRE11*0.0425</f>
        <v>0</v>
      </c>
      <c r="JRG16" s="238">
        <f t="shared" ref="JRG16" si="3613">JRG11*0.0425</f>
        <v>0</v>
      </c>
      <c r="JRI16" s="238">
        <f t="shared" ref="JRI16" si="3614">JRI11*0.0425</f>
        <v>0</v>
      </c>
      <c r="JRK16" s="238">
        <f t="shared" ref="JRK16" si="3615">JRK11*0.0425</f>
        <v>0</v>
      </c>
      <c r="JRM16" s="238">
        <f t="shared" ref="JRM16" si="3616">JRM11*0.0425</f>
        <v>0</v>
      </c>
      <c r="JRO16" s="238">
        <f t="shared" ref="JRO16" si="3617">JRO11*0.0425</f>
        <v>0</v>
      </c>
      <c r="JRQ16" s="238">
        <f t="shared" ref="JRQ16" si="3618">JRQ11*0.0425</f>
        <v>0</v>
      </c>
      <c r="JRS16" s="238">
        <f t="shared" ref="JRS16" si="3619">JRS11*0.0425</f>
        <v>0</v>
      </c>
      <c r="JRU16" s="238">
        <f t="shared" ref="JRU16" si="3620">JRU11*0.0425</f>
        <v>0</v>
      </c>
      <c r="JRW16" s="238">
        <f t="shared" ref="JRW16" si="3621">JRW11*0.0425</f>
        <v>0</v>
      </c>
      <c r="JRY16" s="238">
        <f t="shared" ref="JRY16" si="3622">JRY11*0.0425</f>
        <v>0</v>
      </c>
      <c r="JSA16" s="238">
        <f t="shared" ref="JSA16" si="3623">JSA11*0.0425</f>
        <v>0</v>
      </c>
      <c r="JSC16" s="238">
        <f t="shared" ref="JSC16" si="3624">JSC11*0.0425</f>
        <v>0</v>
      </c>
      <c r="JSE16" s="238">
        <f t="shared" ref="JSE16" si="3625">JSE11*0.0425</f>
        <v>0</v>
      </c>
      <c r="JSG16" s="238">
        <f t="shared" ref="JSG16" si="3626">JSG11*0.0425</f>
        <v>0</v>
      </c>
      <c r="JSI16" s="238">
        <f t="shared" ref="JSI16" si="3627">JSI11*0.0425</f>
        <v>0</v>
      </c>
      <c r="JSK16" s="238">
        <f t="shared" ref="JSK16" si="3628">JSK11*0.0425</f>
        <v>0</v>
      </c>
      <c r="JSM16" s="238">
        <f t="shared" ref="JSM16" si="3629">JSM11*0.0425</f>
        <v>0</v>
      </c>
      <c r="JSO16" s="238">
        <f t="shared" ref="JSO16" si="3630">JSO11*0.0425</f>
        <v>0</v>
      </c>
      <c r="JSQ16" s="238">
        <f t="shared" ref="JSQ16" si="3631">JSQ11*0.0425</f>
        <v>0</v>
      </c>
      <c r="JSS16" s="238">
        <f t="shared" ref="JSS16" si="3632">JSS11*0.0425</f>
        <v>0</v>
      </c>
      <c r="JSU16" s="238">
        <f t="shared" ref="JSU16" si="3633">JSU11*0.0425</f>
        <v>0</v>
      </c>
      <c r="JSW16" s="238">
        <f t="shared" ref="JSW16" si="3634">JSW11*0.0425</f>
        <v>0</v>
      </c>
      <c r="JSY16" s="238">
        <f t="shared" ref="JSY16" si="3635">JSY11*0.0425</f>
        <v>0</v>
      </c>
      <c r="JTA16" s="238">
        <f t="shared" ref="JTA16" si="3636">JTA11*0.0425</f>
        <v>0</v>
      </c>
      <c r="JTC16" s="238">
        <f t="shared" ref="JTC16" si="3637">JTC11*0.0425</f>
        <v>0</v>
      </c>
      <c r="JTE16" s="238">
        <f t="shared" ref="JTE16" si="3638">JTE11*0.0425</f>
        <v>0</v>
      </c>
      <c r="JTG16" s="238">
        <f t="shared" ref="JTG16" si="3639">JTG11*0.0425</f>
        <v>0</v>
      </c>
      <c r="JTI16" s="238">
        <f t="shared" ref="JTI16" si="3640">JTI11*0.0425</f>
        <v>0</v>
      </c>
      <c r="JTK16" s="238">
        <f t="shared" ref="JTK16" si="3641">JTK11*0.0425</f>
        <v>0</v>
      </c>
      <c r="JTM16" s="238">
        <f t="shared" ref="JTM16" si="3642">JTM11*0.0425</f>
        <v>0</v>
      </c>
      <c r="JTO16" s="238">
        <f t="shared" ref="JTO16" si="3643">JTO11*0.0425</f>
        <v>0</v>
      </c>
      <c r="JTQ16" s="238">
        <f t="shared" ref="JTQ16" si="3644">JTQ11*0.0425</f>
        <v>0</v>
      </c>
      <c r="JTS16" s="238">
        <f t="shared" ref="JTS16" si="3645">JTS11*0.0425</f>
        <v>0</v>
      </c>
      <c r="JTU16" s="238">
        <f t="shared" ref="JTU16" si="3646">JTU11*0.0425</f>
        <v>0</v>
      </c>
      <c r="JTW16" s="238">
        <f t="shared" ref="JTW16" si="3647">JTW11*0.0425</f>
        <v>0</v>
      </c>
      <c r="JTY16" s="238">
        <f t="shared" ref="JTY16" si="3648">JTY11*0.0425</f>
        <v>0</v>
      </c>
      <c r="JUA16" s="238">
        <f t="shared" ref="JUA16" si="3649">JUA11*0.0425</f>
        <v>0</v>
      </c>
      <c r="JUC16" s="238">
        <f t="shared" ref="JUC16" si="3650">JUC11*0.0425</f>
        <v>0</v>
      </c>
      <c r="JUE16" s="238">
        <f t="shared" ref="JUE16" si="3651">JUE11*0.0425</f>
        <v>0</v>
      </c>
      <c r="JUG16" s="238">
        <f t="shared" ref="JUG16" si="3652">JUG11*0.0425</f>
        <v>0</v>
      </c>
      <c r="JUI16" s="238">
        <f t="shared" ref="JUI16" si="3653">JUI11*0.0425</f>
        <v>0</v>
      </c>
      <c r="JUK16" s="238">
        <f t="shared" ref="JUK16" si="3654">JUK11*0.0425</f>
        <v>0</v>
      </c>
      <c r="JUM16" s="238">
        <f t="shared" ref="JUM16" si="3655">JUM11*0.0425</f>
        <v>0</v>
      </c>
      <c r="JUO16" s="238">
        <f t="shared" ref="JUO16" si="3656">JUO11*0.0425</f>
        <v>0</v>
      </c>
      <c r="JUQ16" s="238">
        <f t="shared" ref="JUQ16" si="3657">JUQ11*0.0425</f>
        <v>0</v>
      </c>
      <c r="JUS16" s="238">
        <f t="shared" ref="JUS16" si="3658">JUS11*0.0425</f>
        <v>0</v>
      </c>
      <c r="JUU16" s="238">
        <f t="shared" ref="JUU16" si="3659">JUU11*0.0425</f>
        <v>0</v>
      </c>
      <c r="JUW16" s="238">
        <f t="shared" ref="JUW16" si="3660">JUW11*0.0425</f>
        <v>0</v>
      </c>
      <c r="JUY16" s="238">
        <f t="shared" ref="JUY16" si="3661">JUY11*0.0425</f>
        <v>0</v>
      </c>
      <c r="JVA16" s="238">
        <f t="shared" ref="JVA16" si="3662">JVA11*0.0425</f>
        <v>0</v>
      </c>
      <c r="JVC16" s="238">
        <f t="shared" ref="JVC16" si="3663">JVC11*0.0425</f>
        <v>0</v>
      </c>
      <c r="JVE16" s="238">
        <f t="shared" ref="JVE16" si="3664">JVE11*0.0425</f>
        <v>0</v>
      </c>
      <c r="JVG16" s="238">
        <f t="shared" ref="JVG16" si="3665">JVG11*0.0425</f>
        <v>0</v>
      </c>
      <c r="JVI16" s="238">
        <f t="shared" ref="JVI16" si="3666">JVI11*0.0425</f>
        <v>0</v>
      </c>
      <c r="JVK16" s="238">
        <f t="shared" ref="JVK16" si="3667">JVK11*0.0425</f>
        <v>0</v>
      </c>
      <c r="JVM16" s="238">
        <f t="shared" ref="JVM16" si="3668">JVM11*0.0425</f>
        <v>0</v>
      </c>
      <c r="JVO16" s="238">
        <f t="shared" ref="JVO16" si="3669">JVO11*0.0425</f>
        <v>0</v>
      </c>
      <c r="JVQ16" s="238">
        <f t="shared" ref="JVQ16" si="3670">JVQ11*0.0425</f>
        <v>0</v>
      </c>
      <c r="JVS16" s="238">
        <f t="shared" ref="JVS16" si="3671">JVS11*0.0425</f>
        <v>0</v>
      </c>
      <c r="JVU16" s="238">
        <f t="shared" ref="JVU16" si="3672">JVU11*0.0425</f>
        <v>0</v>
      </c>
      <c r="JVW16" s="238">
        <f t="shared" ref="JVW16" si="3673">JVW11*0.0425</f>
        <v>0</v>
      </c>
      <c r="JVY16" s="238">
        <f t="shared" ref="JVY16" si="3674">JVY11*0.0425</f>
        <v>0</v>
      </c>
      <c r="JWA16" s="238">
        <f t="shared" ref="JWA16" si="3675">JWA11*0.0425</f>
        <v>0</v>
      </c>
      <c r="JWC16" s="238">
        <f t="shared" ref="JWC16" si="3676">JWC11*0.0425</f>
        <v>0</v>
      </c>
      <c r="JWE16" s="238">
        <f t="shared" ref="JWE16" si="3677">JWE11*0.0425</f>
        <v>0</v>
      </c>
      <c r="JWG16" s="238">
        <f t="shared" ref="JWG16" si="3678">JWG11*0.0425</f>
        <v>0</v>
      </c>
      <c r="JWI16" s="238">
        <f t="shared" ref="JWI16" si="3679">JWI11*0.0425</f>
        <v>0</v>
      </c>
      <c r="JWK16" s="238">
        <f t="shared" ref="JWK16" si="3680">JWK11*0.0425</f>
        <v>0</v>
      </c>
      <c r="JWM16" s="238">
        <f t="shared" ref="JWM16" si="3681">JWM11*0.0425</f>
        <v>0</v>
      </c>
      <c r="JWO16" s="238">
        <f t="shared" ref="JWO16" si="3682">JWO11*0.0425</f>
        <v>0</v>
      </c>
      <c r="JWQ16" s="238">
        <f t="shared" ref="JWQ16" si="3683">JWQ11*0.0425</f>
        <v>0</v>
      </c>
      <c r="JWS16" s="238">
        <f t="shared" ref="JWS16" si="3684">JWS11*0.0425</f>
        <v>0</v>
      </c>
      <c r="JWU16" s="238">
        <f t="shared" ref="JWU16" si="3685">JWU11*0.0425</f>
        <v>0</v>
      </c>
      <c r="JWW16" s="238">
        <f t="shared" ref="JWW16" si="3686">JWW11*0.0425</f>
        <v>0</v>
      </c>
      <c r="JWY16" s="238">
        <f t="shared" ref="JWY16" si="3687">JWY11*0.0425</f>
        <v>0</v>
      </c>
      <c r="JXA16" s="238">
        <f t="shared" ref="JXA16" si="3688">JXA11*0.0425</f>
        <v>0</v>
      </c>
      <c r="JXC16" s="238">
        <f t="shared" ref="JXC16" si="3689">JXC11*0.0425</f>
        <v>0</v>
      </c>
      <c r="JXE16" s="238">
        <f t="shared" ref="JXE16" si="3690">JXE11*0.0425</f>
        <v>0</v>
      </c>
      <c r="JXG16" s="238">
        <f t="shared" ref="JXG16" si="3691">JXG11*0.0425</f>
        <v>0</v>
      </c>
      <c r="JXI16" s="238">
        <f t="shared" ref="JXI16" si="3692">JXI11*0.0425</f>
        <v>0</v>
      </c>
      <c r="JXK16" s="238">
        <f t="shared" ref="JXK16" si="3693">JXK11*0.0425</f>
        <v>0</v>
      </c>
      <c r="JXM16" s="238">
        <f t="shared" ref="JXM16" si="3694">JXM11*0.0425</f>
        <v>0</v>
      </c>
      <c r="JXO16" s="238">
        <f t="shared" ref="JXO16" si="3695">JXO11*0.0425</f>
        <v>0</v>
      </c>
      <c r="JXQ16" s="238">
        <f t="shared" ref="JXQ16" si="3696">JXQ11*0.0425</f>
        <v>0</v>
      </c>
      <c r="JXS16" s="238">
        <f t="shared" ref="JXS16" si="3697">JXS11*0.0425</f>
        <v>0</v>
      </c>
      <c r="JXU16" s="238">
        <f t="shared" ref="JXU16" si="3698">JXU11*0.0425</f>
        <v>0</v>
      </c>
      <c r="JXW16" s="238">
        <f t="shared" ref="JXW16" si="3699">JXW11*0.0425</f>
        <v>0</v>
      </c>
      <c r="JXY16" s="238">
        <f t="shared" ref="JXY16" si="3700">JXY11*0.0425</f>
        <v>0</v>
      </c>
      <c r="JYA16" s="238">
        <f t="shared" ref="JYA16" si="3701">JYA11*0.0425</f>
        <v>0</v>
      </c>
      <c r="JYC16" s="238">
        <f t="shared" ref="JYC16" si="3702">JYC11*0.0425</f>
        <v>0</v>
      </c>
      <c r="JYE16" s="238">
        <f t="shared" ref="JYE16" si="3703">JYE11*0.0425</f>
        <v>0</v>
      </c>
      <c r="JYG16" s="238">
        <f t="shared" ref="JYG16" si="3704">JYG11*0.0425</f>
        <v>0</v>
      </c>
      <c r="JYI16" s="238">
        <f t="shared" ref="JYI16" si="3705">JYI11*0.0425</f>
        <v>0</v>
      </c>
      <c r="JYK16" s="238">
        <f t="shared" ref="JYK16" si="3706">JYK11*0.0425</f>
        <v>0</v>
      </c>
      <c r="JYM16" s="238">
        <f t="shared" ref="JYM16" si="3707">JYM11*0.0425</f>
        <v>0</v>
      </c>
      <c r="JYO16" s="238">
        <f t="shared" ref="JYO16" si="3708">JYO11*0.0425</f>
        <v>0</v>
      </c>
      <c r="JYQ16" s="238">
        <f t="shared" ref="JYQ16" si="3709">JYQ11*0.0425</f>
        <v>0</v>
      </c>
      <c r="JYS16" s="238">
        <f t="shared" ref="JYS16" si="3710">JYS11*0.0425</f>
        <v>0</v>
      </c>
      <c r="JYU16" s="238">
        <f t="shared" ref="JYU16" si="3711">JYU11*0.0425</f>
        <v>0</v>
      </c>
      <c r="JYW16" s="238">
        <f t="shared" ref="JYW16" si="3712">JYW11*0.0425</f>
        <v>0</v>
      </c>
      <c r="JYY16" s="238">
        <f t="shared" ref="JYY16" si="3713">JYY11*0.0425</f>
        <v>0</v>
      </c>
      <c r="JZA16" s="238">
        <f t="shared" ref="JZA16" si="3714">JZA11*0.0425</f>
        <v>0</v>
      </c>
      <c r="JZC16" s="238">
        <f t="shared" ref="JZC16" si="3715">JZC11*0.0425</f>
        <v>0</v>
      </c>
      <c r="JZE16" s="238">
        <f t="shared" ref="JZE16" si="3716">JZE11*0.0425</f>
        <v>0</v>
      </c>
      <c r="JZG16" s="238">
        <f t="shared" ref="JZG16" si="3717">JZG11*0.0425</f>
        <v>0</v>
      </c>
      <c r="JZI16" s="238">
        <f t="shared" ref="JZI16" si="3718">JZI11*0.0425</f>
        <v>0</v>
      </c>
      <c r="JZK16" s="238">
        <f t="shared" ref="JZK16" si="3719">JZK11*0.0425</f>
        <v>0</v>
      </c>
      <c r="JZM16" s="238">
        <f t="shared" ref="JZM16" si="3720">JZM11*0.0425</f>
        <v>0</v>
      </c>
      <c r="JZO16" s="238">
        <f t="shared" ref="JZO16" si="3721">JZO11*0.0425</f>
        <v>0</v>
      </c>
      <c r="JZQ16" s="238">
        <f t="shared" ref="JZQ16" si="3722">JZQ11*0.0425</f>
        <v>0</v>
      </c>
      <c r="JZS16" s="238">
        <f t="shared" ref="JZS16" si="3723">JZS11*0.0425</f>
        <v>0</v>
      </c>
      <c r="JZU16" s="238">
        <f t="shared" ref="JZU16" si="3724">JZU11*0.0425</f>
        <v>0</v>
      </c>
      <c r="JZW16" s="238">
        <f t="shared" ref="JZW16" si="3725">JZW11*0.0425</f>
        <v>0</v>
      </c>
      <c r="JZY16" s="238">
        <f t="shared" ref="JZY16" si="3726">JZY11*0.0425</f>
        <v>0</v>
      </c>
      <c r="KAA16" s="238">
        <f t="shared" ref="KAA16" si="3727">KAA11*0.0425</f>
        <v>0</v>
      </c>
      <c r="KAC16" s="238">
        <f t="shared" ref="KAC16" si="3728">KAC11*0.0425</f>
        <v>0</v>
      </c>
      <c r="KAE16" s="238">
        <f t="shared" ref="KAE16" si="3729">KAE11*0.0425</f>
        <v>0</v>
      </c>
      <c r="KAG16" s="238">
        <f t="shared" ref="KAG16" si="3730">KAG11*0.0425</f>
        <v>0</v>
      </c>
      <c r="KAI16" s="238">
        <f t="shared" ref="KAI16" si="3731">KAI11*0.0425</f>
        <v>0</v>
      </c>
      <c r="KAK16" s="238">
        <f t="shared" ref="KAK16" si="3732">KAK11*0.0425</f>
        <v>0</v>
      </c>
      <c r="KAM16" s="238">
        <f t="shared" ref="KAM16" si="3733">KAM11*0.0425</f>
        <v>0</v>
      </c>
      <c r="KAO16" s="238">
        <f t="shared" ref="KAO16" si="3734">KAO11*0.0425</f>
        <v>0</v>
      </c>
      <c r="KAQ16" s="238">
        <f t="shared" ref="KAQ16" si="3735">KAQ11*0.0425</f>
        <v>0</v>
      </c>
      <c r="KAS16" s="238">
        <f t="shared" ref="KAS16" si="3736">KAS11*0.0425</f>
        <v>0</v>
      </c>
      <c r="KAU16" s="238">
        <f t="shared" ref="KAU16" si="3737">KAU11*0.0425</f>
        <v>0</v>
      </c>
      <c r="KAW16" s="238">
        <f t="shared" ref="KAW16" si="3738">KAW11*0.0425</f>
        <v>0</v>
      </c>
      <c r="KAY16" s="238">
        <f t="shared" ref="KAY16" si="3739">KAY11*0.0425</f>
        <v>0</v>
      </c>
      <c r="KBA16" s="238">
        <f t="shared" ref="KBA16" si="3740">KBA11*0.0425</f>
        <v>0</v>
      </c>
      <c r="KBC16" s="238">
        <f t="shared" ref="KBC16" si="3741">KBC11*0.0425</f>
        <v>0</v>
      </c>
      <c r="KBE16" s="238">
        <f t="shared" ref="KBE16" si="3742">KBE11*0.0425</f>
        <v>0</v>
      </c>
      <c r="KBG16" s="238">
        <f t="shared" ref="KBG16" si="3743">KBG11*0.0425</f>
        <v>0</v>
      </c>
      <c r="KBI16" s="238">
        <f t="shared" ref="KBI16" si="3744">KBI11*0.0425</f>
        <v>0</v>
      </c>
      <c r="KBK16" s="238">
        <f t="shared" ref="KBK16" si="3745">KBK11*0.0425</f>
        <v>0</v>
      </c>
      <c r="KBM16" s="238">
        <f t="shared" ref="KBM16" si="3746">KBM11*0.0425</f>
        <v>0</v>
      </c>
      <c r="KBO16" s="238">
        <f t="shared" ref="KBO16" si="3747">KBO11*0.0425</f>
        <v>0</v>
      </c>
      <c r="KBQ16" s="238">
        <f t="shared" ref="KBQ16" si="3748">KBQ11*0.0425</f>
        <v>0</v>
      </c>
      <c r="KBS16" s="238">
        <f t="shared" ref="KBS16" si="3749">KBS11*0.0425</f>
        <v>0</v>
      </c>
      <c r="KBU16" s="238">
        <f t="shared" ref="KBU16" si="3750">KBU11*0.0425</f>
        <v>0</v>
      </c>
      <c r="KBW16" s="238">
        <f t="shared" ref="KBW16" si="3751">KBW11*0.0425</f>
        <v>0</v>
      </c>
      <c r="KBY16" s="238">
        <f t="shared" ref="KBY16" si="3752">KBY11*0.0425</f>
        <v>0</v>
      </c>
      <c r="KCA16" s="238">
        <f t="shared" ref="KCA16" si="3753">KCA11*0.0425</f>
        <v>0</v>
      </c>
      <c r="KCC16" s="238">
        <f t="shared" ref="KCC16" si="3754">KCC11*0.0425</f>
        <v>0</v>
      </c>
      <c r="KCE16" s="238">
        <f t="shared" ref="KCE16" si="3755">KCE11*0.0425</f>
        <v>0</v>
      </c>
      <c r="KCG16" s="238">
        <f t="shared" ref="KCG16" si="3756">KCG11*0.0425</f>
        <v>0</v>
      </c>
      <c r="KCI16" s="238">
        <f t="shared" ref="KCI16" si="3757">KCI11*0.0425</f>
        <v>0</v>
      </c>
      <c r="KCK16" s="238">
        <f t="shared" ref="KCK16" si="3758">KCK11*0.0425</f>
        <v>0</v>
      </c>
      <c r="KCM16" s="238">
        <f t="shared" ref="KCM16" si="3759">KCM11*0.0425</f>
        <v>0</v>
      </c>
      <c r="KCO16" s="238">
        <f t="shared" ref="KCO16" si="3760">KCO11*0.0425</f>
        <v>0</v>
      </c>
      <c r="KCQ16" s="238">
        <f t="shared" ref="KCQ16" si="3761">KCQ11*0.0425</f>
        <v>0</v>
      </c>
      <c r="KCS16" s="238">
        <f t="shared" ref="KCS16" si="3762">KCS11*0.0425</f>
        <v>0</v>
      </c>
      <c r="KCU16" s="238">
        <f t="shared" ref="KCU16" si="3763">KCU11*0.0425</f>
        <v>0</v>
      </c>
      <c r="KCW16" s="238">
        <f t="shared" ref="KCW16" si="3764">KCW11*0.0425</f>
        <v>0</v>
      </c>
      <c r="KCY16" s="238">
        <f t="shared" ref="KCY16" si="3765">KCY11*0.0425</f>
        <v>0</v>
      </c>
      <c r="KDA16" s="238">
        <f t="shared" ref="KDA16" si="3766">KDA11*0.0425</f>
        <v>0</v>
      </c>
      <c r="KDC16" s="238">
        <f t="shared" ref="KDC16" si="3767">KDC11*0.0425</f>
        <v>0</v>
      </c>
      <c r="KDE16" s="238">
        <f t="shared" ref="KDE16" si="3768">KDE11*0.0425</f>
        <v>0</v>
      </c>
      <c r="KDG16" s="238">
        <f t="shared" ref="KDG16" si="3769">KDG11*0.0425</f>
        <v>0</v>
      </c>
      <c r="KDI16" s="238">
        <f t="shared" ref="KDI16" si="3770">KDI11*0.0425</f>
        <v>0</v>
      </c>
      <c r="KDK16" s="238">
        <f t="shared" ref="KDK16" si="3771">KDK11*0.0425</f>
        <v>0</v>
      </c>
      <c r="KDM16" s="238">
        <f t="shared" ref="KDM16" si="3772">KDM11*0.0425</f>
        <v>0</v>
      </c>
      <c r="KDO16" s="238">
        <f t="shared" ref="KDO16" si="3773">KDO11*0.0425</f>
        <v>0</v>
      </c>
      <c r="KDQ16" s="238">
        <f t="shared" ref="KDQ16" si="3774">KDQ11*0.0425</f>
        <v>0</v>
      </c>
      <c r="KDS16" s="238">
        <f t="shared" ref="KDS16" si="3775">KDS11*0.0425</f>
        <v>0</v>
      </c>
      <c r="KDU16" s="238">
        <f t="shared" ref="KDU16" si="3776">KDU11*0.0425</f>
        <v>0</v>
      </c>
      <c r="KDW16" s="238">
        <f t="shared" ref="KDW16" si="3777">KDW11*0.0425</f>
        <v>0</v>
      </c>
      <c r="KDY16" s="238">
        <f t="shared" ref="KDY16" si="3778">KDY11*0.0425</f>
        <v>0</v>
      </c>
      <c r="KEA16" s="238">
        <f t="shared" ref="KEA16" si="3779">KEA11*0.0425</f>
        <v>0</v>
      </c>
      <c r="KEC16" s="238">
        <f t="shared" ref="KEC16" si="3780">KEC11*0.0425</f>
        <v>0</v>
      </c>
      <c r="KEE16" s="238">
        <f t="shared" ref="KEE16" si="3781">KEE11*0.0425</f>
        <v>0</v>
      </c>
      <c r="KEG16" s="238">
        <f t="shared" ref="KEG16" si="3782">KEG11*0.0425</f>
        <v>0</v>
      </c>
      <c r="KEI16" s="238">
        <f t="shared" ref="KEI16" si="3783">KEI11*0.0425</f>
        <v>0</v>
      </c>
      <c r="KEK16" s="238">
        <f t="shared" ref="KEK16" si="3784">KEK11*0.0425</f>
        <v>0</v>
      </c>
      <c r="KEM16" s="238">
        <f t="shared" ref="KEM16" si="3785">KEM11*0.0425</f>
        <v>0</v>
      </c>
      <c r="KEO16" s="238">
        <f t="shared" ref="KEO16" si="3786">KEO11*0.0425</f>
        <v>0</v>
      </c>
      <c r="KEQ16" s="238">
        <f t="shared" ref="KEQ16" si="3787">KEQ11*0.0425</f>
        <v>0</v>
      </c>
      <c r="KES16" s="238">
        <f t="shared" ref="KES16" si="3788">KES11*0.0425</f>
        <v>0</v>
      </c>
      <c r="KEU16" s="238">
        <f t="shared" ref="KEU16" si="3789">KEU11*0.0425</f>
        <v>0</v>
      </c>
      <c r="KEW16" s="238">
        <f t="shared" ref="KEW16" si="3790">KEW11*0.0425</f>
        <v>0</v>
      </c>
      <c r="KEY16" s="238">
        <f t="shared" ref="KEY16" si="3791">KEY11*0.0425</f>
        <v>0</v>
      </c>
      <c r="KFA16" s="238">
        <f t="shared" ref="KFA16" si="3792">KFA11*0.0425</f>
        <v>0</v>
      </c>
      <c r="KFC16" s="238">
        <f t="shared" ref="KFC16" si="3793">KFC11*0.0425</f>
        <v>0</v>
      </c>
      <c r="KFE16" s="238">
        <f t="shared" ref="KFE16" si="3794">KFE11*0.0425</f>
        <v>0</v>
      </c>
      <c r="KFG16" s="238">
        <f t="shared" ref="KFG16" si="3795">KFG11*0.0425</f>
        <v>0</v>
      </c>
      <c r="KFI16" s="238">
        <f t="shared" ref="KFI16" si="3796">KFI11*0.0425</f>
        <v>0</v>
      </c>
      <c r="KFK16" s="238">
        <f t="shared" ref="KFK16" si="3797">KFK11*0.0425</f>
        <v>0</v>
      </c>
      <c r="KFM16" s="238">
        <f t="shared" ref="KFM16" si="3798">KFM11*0.0425</f>
        <v>0</v>
      </c>
      <c r="KFO16" s="238">
        <f t="shared" ref="KFO16" si="3799">KFO11*0.0425</f>
        <v>0</v>
      </c>
      <c r="KFQ16" s="238">
        <f t="shared" ref="KFQ16" si="3800">KFQ11*0.0425</f>
        <v>0</v>
      </c>
      <c r="KFS16" s="238">
        <f t="shared" ref="KFS16" si="3801">KFS11*0.0425</f>
        <v>0</v>
      </c>
      <c r="KFU16" s="238">
        <f t="shared" ref="KFU16" si="3802">KFU11*0.0425</f>
        <v>0</v>
      </c>
      <c r="KFW16" s="238">
        <f t="shared" ref="KFW16" si="3803">KFW11*0.0425</f>
        <v>0</v>
      </c>
      <c r="KFY16" s="238">
        <f t="shared" ref="KFY16" si="3804">KFY11*0.0425</f>
        <v>0</v>
      </c>
      <c r="KGA16" s="238">
        <f t="shared" ref="KGA16" si="3805">KGA11*0.0425</f>
        <v>0</v>
      </c>
      <c r="KGC16" s="238">
        <f t="shared" ref="KGC16" si="3806">KGC11*0.0425</f>
        <v>0</v>
      </c>
      <c r="KGE16" s="238">
        <f t="shared" ref="KGE16" si="3807">KGE11*0.0425</f>
        <v>0</v>
      </c>
      <c r="KGG16" s="238">
        <f t="shared" ref="KGG16" si="3808">KGG11*0.0425</f>
        <v>0</v>
      </c>
      <c r="KGI16" s="238">
        <f t="shared" ref="KGI16" si="3809">KGI11*0.0425</f>
        <v>0</v>
      </c>
      <c r="KGK16" s="238">
        <f t="shared" ref="KGK16" si="3810">KGK11*0.0425</f>
        <v>0</v>
      </c>
      <c r="KGM16" s="238">
        <f t="shared" ref="KGM16" si="3811">KGM11*0.0425</f>
        <v>0</v>
      </c>
      <c r="KGO16" s="238">
        <f t="shared" ref="KGO16" si="3812">KGO11*0.0425</f>
        <v>0</v>
      </c>
      <c r="KGQ16" s="238">
        <f t="shared" ref="KGQ16" si="3813">KGQ11*0.0425</f>
        <v>0</v>
      </c>
      <c r="KGS16" s="238">
        <f t="shared" ref="KGS16" si="3814">KGS11*0.0425</f>
        <v>0</v>
      </c>
      <c r="KGU16" s="238">
        <f t="shared" ref="KGU16" si="3815">KGU11*0.0425</f>
        <v>0</v>
      </c>
      <c r="KGW16" s="238">
        <f t="shared" ref="KGW16" si="3816">KGW11*0.0425</f>
        <v>0</v>
      </c>
      <c r="KGY16" s="238">
        <f t="shared" ref="KGY16" si="3817">KGY11*0.0425</f>
        <v>0</v>
      </c>
      <c r="KHA16" s="238">
        <f t="shared" ref="KHA16" si="3818">KHA11*0.0425</f>
        <v>0</v>
      </c>
      <c r="KHC16" s="238">
        <f t="shared" ref="KHC16" si="3819">KHC11*0.0425</f>
        <v>0</v>
      </c>
      <c r="KHE16" s="238">
        <f t="shared" ref="KHE16" si="3820">KHE11*0.0425</f>
        <v>0</v>
      </c>
      <c r="KHG16" s="238">
        <f t="shared" ref="KHG16" si="3821">KHG11*0.0425</f>
        <v>0</v>
      </c>
      <c r="KHI16" s="238">
        <f t="shared" ref="KHI16" si="3822">KHI11*0.0425</f>
        <v>0</v>
      </c>
      <c r="KHK16" s="238">
        <f t="shared" ref="KHK16" si="3823">KHK11*0.0425</f>
        <v>0</v>
      </c>
      <c r="KHM16" s="238">
        <f t="shared" ref="KHM16" si="3824">KHM11*0.0425</f>
        <v>0</v>
      </c>
      <c r="KHO16" s="238">
        <f t="shared" ref="KHO16" si="3825">KHO11*0.0425</f>
        <v>0</v>
      </c>
      <c r="KHQ16" s="238">
        <f t="shared" ref="KHQ16" si="3826">KHQ11*0.0425</f>
        <v>0</v>
      </c>
      <c r="KHS16" s="238">
        <f t="shared" ref="KHS16" si="3827">KHS11*0.0425</f>
        <v>0</v>
      </c>
      <c r="KHU16" s="238">
        <f t="shared" ref="KHU16" si="3828">KHU11*0.0425</f>
        <v>0</v>
      </c>
      <c r="KHW16" s="238">
        <f t="shared" ref="KHW16" si="3829">KHW11*0.0425</f>
        <v>0</v>
      </c>
      <c r="KHY16" s="238">
        <f t="shared" ref="KHY16" si="3830">KHY11*0.0425</f>
        <v>0</v>
      </c>
      <c r="KIA16" s="238">
        <f t="shared" ref="KIA16" si="3831">KIA11*0.0425</f>
        <v>0</v>
      </c>
      <c r="KIC16" s="238">
        <f t="shared" ref="KIC16" si="3832">KIC11*0.0425</f>
        <v>0</v>
      </c>
      <c r="KIE16" s="238">
        <f t="shared" ref="KIE16" si="3833">KIE11*0.0425</f>
        <v>0</v>
      </c>
      <c r="KIG16" s="238">
        <f t="shared" ref="KIG16" si="3834">KIG11*0.0425</f>
        <v>0</v>
      </c>
      <c r="KII16" s="238">
        <f t="shared" ref="KII16" si="3835">KII11*0.0425</f>
        <v>0</v>
      </c>
      <c r="KIK16" s="238">
        <f t="shared" ref="KIK16" si="3836">KIK11*0.0425</f>
        <v>0</v>
      </c>
      <c r="KIM16" s="238">
        <f t="shared" ref="KIM16" si="3837">KIM11*0.0425</f>
        <v>0</v>
      </c>
      <c r="KIO16" s="238">
        <f t="shared" ref="KIO16" si="3838">KIO11*0.0425</f>
        <v>0</v>
      </c>
      <c r="KIQ16" s="238">
        <f t="shared" ref="KIQ16" si="3839">KIQ11*0.0425</f>
        <v>0</v>
      </c>
      <c r="KIS16" s="238">
        <f t="shared" ref="KIS16" si="3840">KIS11*0.0425</f>
        <v>0</v>
      </c>
      <c r="KIU16" s="238">
        <f t="shared" ref="KIU16" si="3841">KIU11*0.0425</f>
        <v>0</v>
      </c>
      <c r="KIW16" s="238">
        <f t="shared" ref="KIW16" si="3842">KIW11*0.0425</f>
        <v>0</v>
      </c>
      <c r="KIY16" s="238">
        <f t="shared" ref="KIY16" si="3843">KIY11*0.0425</f>
        <v>0</v>
      </c>
      <c r="KJA16" s="238">
        <f t="shared" ref="KJA16" si="3844">KJA11*0.0425</f>
        <v>0</v>
      </c>
      <c r="KJC16" s="238">
        <f t="shared" ref="KJC16" si="3845">KJC11*0.0425</f>
        <v>0</v>
      </c>
      <c r="KJE16" s="238">
        <f t="shared" ref="KJE16" si="3846">KJE11*0.0425</f>
        <v>0</v>
      </c>
      <c r="KJG16" s="238">
        <f t="shared" ref="KJG16" si="3847">KJG11*0.0425</f>
        <v>0</v>
      </c>
      <c r="KJI16" s="238">
        <f t="shared" ref="KJI16" si="3848">KJI11*0.0425</f>
        <v>0</v>
      </c>
      <c r="KJK16" s="238">
        <f t="shared" ref="KJK16" si="3849">KJK11*0.0425</f>
        <v>0</v>
      </c>
      <c r="KJM16" s="238">
        <f t="shared" ref="KJM16" si="3850">KJM11*0.0425</f>
        <v>0</v>
      </c>
      <c r="KJO16" s="238">
        <f t="shared" ref="KJO16" si="3851">KJO11*0.0425</f>
        <v>0</v>
      </c>
      <c r="KJQ16" s="238">
        <f t="shared" ref="KJQ16" si="3852">KJQ11*0.0425</f>
        <v>0</v>
      </c>
      <c r="KJS16" s="238">
        <f t="shared" ref="KJS16" si="3853">KJS11*0.0425</f>
        <v>0</v>
      </c>
      <c r="KJU16" s="238">
        <f t="shared" ref="KJU16" si="3854">KJU11*0.0425</f>
        <v>0</v>
      </c>
      <c r="KJW16" s="238">
        <f t="shared" ref="KJW16" si="3855">KJW11*0.0425</f>
        <v>0</v>
      </c>
      <c r="KJY16" s="238">
        <f t="shared" ref="KJY16" si="3856">KJY11*0.0425</f>
        <v>0</v>
      </c>
      <c r="KKA16" s="238">
        <f t="shared" ref="KKA16" si="3857">KKA11*0.0425</f>
        <v>0</v>
      </c>
      <c r="KKC16" s="238">
        <f t="shared" ref="KKC16" si="3858">KKC11*0.0425</f>
        <v>0</v>
      </c>
      <c r="KKE16" s="238">
        <f t="shared" ref="KKE16" si="3859">KKE11*0.0425</f>
        <v>0</v>
      </c>
      <c r="KKG16" s="238">
        <f t="shared" ref="KKG16" si="3860">KKG11*0.0425</f>
        <v>0</v>
      </c>
      <c r="KKI16" s="238">
        <f t="shared" ref="KKI16" si="3861">KKI11*0.0425</f>
        <v>0</v>
      </c>
      <c r="KKK16" s="238">
        <f t="shared" ref="KKK16" si="3862">KKK11*0.0425</f>
        <v>0</v>
      </c>
      <c r="KKM16" s="238">
        <f t="shared" ref="KKM16" si="3863">KKM11*0.0425</f>
        <v>0</v>
      </c>
      <c r="KKO16" s="238">
        <f t="shared" ref="KKO16" si="3864">KKO11*0.0425</f>
        <v>0</v>
      </c>
      <c r="KKQ16" s="238">
        <f t="shared" ref="KKQ16" si="3865">KKQ11*0.0425</f>
        <v>0</v>
      </c>
      <c r="KKS16" s="238">
        <f t="shared" ref="KKS16" si="3866">KKS11*0.0425</f>
        <v>0</v>
      </c>
      <c r="KKU16" s="238">
        <f t="shared" ref="KKU16" si="3867">KKU11*0.0425</f>
        <v>0</v>
      </c>
      <c r="KKW16" s="238">
        <f t="shared" ref="KKW16" si="3868">KKW11*0.0425</f>
        <v>0</v>
      </c>
      <c r="KKY16" s="238">
        <f t="shared" ref="KKY16" si="3869">KKY11*0.0425</f>
        <v>0</v>
      </c>
      <c r="KLA16" s="238">
        <f t="shared" ref="KLA16" si="3870">KLA11*0.0425</f>
        <v>0</v>
      </c>
      <c r="KLC16" s="238">
        <f t="shared" ref="KLC16" si="3871">KLC11*0.0425</f>
        <v>0</v>
      </c>
      <c r="KLE16" s="238">
        <f t="shared" ref="KLE16" si="3872">KLE11*0.0425</f>
        <v>0</v>
      </c>
      <c r="KLG16" s="238">
        <f t="shared" ref="KLG16" si="3873">KLG11*0.0425</f>
        <v>0</v>
      </c>
      <c r="KLI16" s="238">
        <f t="shared" ref="KLI16" si="3874">KLI11*0.0425</f>
        <v>0</v>
      </c>
      <c r="KLK16" s="238">
        <f t="shared" ref="KLK16" si="3875">KLK11*0.0425</f>
        <v>0</v>
      </c>
      <c r="KLM16" s="238">
        <f t="shared" ref="KLM16" si="3876">KLM11*0.0425</f>
        <v>0</v>
      </c>
      <c r="KLO16" s="238">
        <f t="shared" ref="KLO16" si="3877">KLO11*0.0425</f>
        <v>0</v>
      </c>
      <c r="KLQ16" s="238">
        <f t="shared" ref="KLQ16" si="3878">KLQ11*0.0425</f>
        <v>0</v>
      </c>
      <c r="KLS16" s="238">
        <f t="shared" ref="KLS16" si="3879">KLS11*0.0425</f>
        <v>0</v>
      </c>
      <c r="KLU16" s="238">
        <f t="shared" ref="KLU16" si="3880">KLU11*0.0425</f>
        <v>0</v>
      </c>
      <c r="KLW16" s="238">
        <f t="shared" ref="KLW16" si="3881">KLW11*0.0425</f>
        <v>0</v>
      </c>
      <c r="KLY16" s="238">
        <f t="shared" ref="KLY16" si="3882">KLY11*0.0425</f>
        <v>0</v>
      </c>
      <c r="KMA16" s="238">
        <f t="shared" ref="KMA16" si="3883">KMA11*0.0425</f>
        <v>0</v>
      </c>
      <c r="KMC16" s="238">
        <f t="shared" ref="KMC16" si="3884">KMC11*0.0425</f>
        <v>0</v>
      </c>
      <c r="KME16" s="238">
        <f t="shared" ref="KME16" si="3885">KME11*0.0425</f>
        <v>0</v>
      </c>
      <c r="KMG16" s="238">
        <f t="shared" ref="KMG16" si="3886">KMG11*0.0425</f>
        <v>0</v>
      </c>
      <c r="KMI16" s="238">
        <f t="shared" ref="KMI16" si="3887">KMI11*0.0425</f>
        <v>0</v>
      </c>
      <c r="KMK16" s="238">
        <f t="shared" ref="KMK16" si="3888">KMK11*0.0425</f>
        <v>0</v>
      </c>
      <c r="KMM16" s="238">
        <f t="shared" ref="KMM16" si="3889">KMM11*0.0425</f>
        <v>0</v>
      </c>
      <c r="KMO16" s="238">
        <f t="shared" ref="KMO16" si="3890">KMO11*0.0425</f>
        <v>0</v>
      </c>
      <c r="KMQ16" s="238">
        <f t="shared" ref="KMQ16" si="3891">KMQ11*0.0425</f>
        <v>0</v>
      </c>
      <c r="KMS16" s="238">
        <f t="shared" ref="KMS16" si="3892">KMS11*0.0425</f>
        <v>0</v>
      </c>
      <c r="KMU16" s="238">
        <f t="shared" ref="KMU16" si="3893">KMU11*0.0425</f>
        <v>0</v>
      </c>
      <c r="KMW16" s="238">
        <f t="shared" ref="KMW16" si="3894">KMW11*0.0425</f>
        <v>0</v>
      </c>
      <c r="KMY16" s="238">
        <f t="shared" ref="KMY16" si="3895">KMY11*0.0425</f>
        <v>0</v>
      </c>
      <c r="KNA16" s="238">
        <f t="shared" ref="KNA16" si="3896">KNA11*0.0425</f>
        <v>0</v>
      </c>
      <c r="KNC16" s="238">
        <f t="shared" ref="KNC16" si="3897">KNC11*0.0425</f>
        <v>0</v>
      </c>
      <c r="KNE16" s="238">
        <f t="shared" ref="KNE16" si="3898">KNE11*0.0425</f>
        <v>0</v>
      </c>
      <c r="KNG16" s="238">
        <f t="shared" ref="KNG16" si="3899">KNG11*0.0425</f>
        <v>0</v>
      </c>
      <c r="KNI16" s="238">
        <f t="shared" ref="KNI16" si="3900">KNI11*0.0425</f>
        <v>0</v>
      </c>
      <c r="KNK16" s="238">
        <f t="shared" ref="KNK16" si="3901">KNK11*0.0425</f>
        <v>0</v>
      </c>
      <c r="KNM16" s="238">
        <f t="shared" ref="KNM16" si="3902">KNM11*0.0425</f>
        <v>0</v>
      </c>
      <c r="KNO16" s="238">
        <f t="shared" ref="KNO16" si="3903">KNO11*0.0425</f>
        <v>0</v>
      </c>
      <c r="KNQ16" s="238">
        <f t="shared" ref="KNQ16" si="3904">KNQ11*0.0425</f>
        <v>0</v>
      </c>
      <c r="KNS16" s="238">
        <f t="shared" ref="KNS16" si="3905">KNS11*0.0425</f>
        <v>0</v>
      </c>
      <c r="KNU16" s="238">
        <f t="shared" ref="KNU16" si="3906">KNU11*0.0425</f>
        <v>0</v>
      </c>
      <c r="KNW16" s="238">
        <f t="shared" ref="KNW16" si="3907">KNW11*0.0425</f>
        <v>0</v>
      </c>
      <c r="KNY16" s="238">
        <f t="shared" ref="KNY16" si="3908">KNY11*0.0425</f>
        <v>0</v>
      </c>
      <c r="KOA16" s="238">
        <f t="shared" ref="KOA16" si="3909">KOA11*0.0425</f>
        <v>0</v>
      </c>
      <c r="KOC16" s="238">
        <f t="shared" ref="KOC16" si="3910">KOC11*0.0425</f>
        <v>0</v>
      </c>
      <c r="KOE16" s="238">
        <f t="shared" ref="KOE16" si="3911">KOE11*0.0425</f>
        <v>0</v>
      </c>
      <c r="KOG16" s="238">
        <f t="shared" ref="KOG16" si="3912">KOG11*0.0425</f>
        <v>0</v>
      </c>
      <c r="KOI16" s="238">
        <f t="shared" ref="KOI16" si="3913">KOI11*0.0425</f>
        <v>0</v>
      </c>
      <c r="KOK16" s="238">
        <f t="shared" ref="KOK16" si="3914">KOK11*0.0425</f>
        <v>0</v>
      </c>
      <c r="KOM16" s="238">
        <f t="shared" ref="KOM16" si="3915">KOM11*0.0425</f>
        <v>0</v>
      </c>
      <c r="KOO16" s="238">
        <f t="shared" ref="KOO16" si="3916">KOO11*0.0425</f>
        <v>0</v>
      </c>
      <c r="KOQ16" s="238">
        <f t="shared" ref="KOQ16" si="3917">KOQ11*0.0425</f>
        <v>0</v>
      </c>
      <c r="KOS16" s="238">
        <f t="shared" ref="KOS16" si="3918">KOS11*0.0425</f>
        <v>0</v>
      </c>
      <c r="KOU16" s="238">
        <f t="shared" ref="KOU16" si="3919">KOU11*0.0425</f>
        <v>0</v>
      </c>
      <c r="KOW16" s="238">
        <f t="shared" ref="KOW16" si="3920">KOW11*0.0425</f>
        <v>0</v>
      </c>
      <c r="KOY16" s="238">
        <f t="shared" ref="KOY16" si="3921">KOY11*0.0425</f>
        <v>0</v>
      </c>
      <c r="KPA16" s="238">
        <f t="shared" ref="KPA16" si="3922">KPA11*0.0425</f>
        <v>0</v>
      </c>
      <c r="KPC16" s="238">
        <f t="shared" ref="KPC16" si="3923">KPC11*0.0425</f>
        <v>0</v>
      </c>
      <c r="KPE16" s="238">
        <f t="shared" ref="KPE16" si="3924">KPE11*0.0425</f>
        <v>0</v>
      </c>
      <c r="KPG16" s="238">
        <f t="shared" ref="KPG16" si="3925">KPG11*0.0425</f>
        <v>0</v>
      </c>
      <c r="KPI16" s="238">
        <f t="shared" ref="KPI16" si="3926">KPI11*0.0425</f>
        <v>0</v>
      </c>
      <c r="KPK16" s="238">
        <f t="shared" ref="KPK16" si="3927">KPK11*0.0425</f>
        <v>0</v>
      </c>
      <c r="KPM16" s="238">
        <f t="shared" ref="KPM16" si="3928">KPM11*0.0425</f>
        <v>0</v>
      </c>
      <c r="KPO16" s="238">
        <f t="shared" ref="KPO16" si="3929">KPO11*0.0425</f>
        <v>0</v>
      </c>
      <c r="KPQ16" s="238">
        <f t="shared" ref="KPQ16" si="3930">KPQ11*0.0425</f>
        <v>0</v>
      </c>
      <c r="KPS16" s="238">
        <f t="shared" ref="KPS16" si="3931">KPS11*0.0425</f>
        <v>0</v>
      </c>
      <c r="KPU16" s="238">
        <f t="shared" ref="KPU16" si="3932">KPU11*0.0425</f>
        <v>0</v>
      </c>
      <c r="KPW16" s="238">
        <f t="shared" ref="KPW16" si="3933">KPW11*0.0425</f>
        <v>0</v>
      </c>
      <c r="KPY16" s="238">
        <f t="shared" ref="KPY16" si="3934">KPY11*0.0425</f>
        <v>0</v>
      </c>
      <c r="KQA16" s="238">
        <f t="shared" ref="KQA16" si="3935">KQA11*0.0425</f>
        <v>0</v>
      </c>
      <c r="KQC16" s="238">
        <f t="shared" ref="KQC16" si="3936">KQC11*0.0425</f>
        <v>0</v>
      </c>
      <c r="KQE16" s="238">
        <f t="shared" ref="KQE16" si="3937">KQE11*0.0425</f>
        <v>0</v>
      </c>
      <c r="KQG16" s="238">
        <f t="shared" ref="KQG16" si="3938">KQG11*0.0425</f>
        <v>0</v>
      </c>
      <c r="KQI16" s="238">
        <f t="shared" ref="KQI16" si="3939">KQI11*0.0425</f>
        <v>0</v>
      </c>
      <c r="KQK16" s="238">
        <f t="shared" ref="KQK16" si="3940">KQK11*0.0425</f>
        <v>0</v>
      </c>
      <c r="KQM16" s="238">
        <f t="shared" ref="KQM16" si="3941">KQM11*0.0425</f>
        <v>0</v>
      </c>
      <c r="KQO16" s="238">
        <f t="shared" ref="KQO16" si="3942">KQO11*0.0425</f>
        <v>0</v>
      </c>
      <c r="KQQ16" s="238">
        <f t="shared" ref="KQQ16" si="3943">KQQ11*0.0425</f>
        <v>0</v>
      </c>
      <c r="KQS16" s="238">
        <f t="shared" ref="KQS16" si="3944">KQS11*0.0425</f>
        <v>0</v>
      </c>
      <c r="KQU16" s="238">
        <f t="shared" ref="KQU16" si="3945">KQU11*0.0425</f>
        <v>0</v>
      </c>
      <c r="KQW16" s="238">
        <f t="shared" ref="KQW16" si="3946">KQW11*0.0425</f>
        <v>0</v>
      </c>
      <c r="KQY16" s="238">
        <f t="shared" ref="KQY16" si="3947">KQY11*0.0425</f>
        <v>0</v>
      </c>
      <c r="KRA16" s="238">
        <f t="shared" ref="KRA16" si="3948">KRA11*0.0425</f>
        <v>0</v>
      </c>
      <c r="KRC16" s="238">
        <f t="shared" ref="KRC16" si="3949">KRC11*0.0425</f>
        <v>0</v>
      </c>
      <c r="KRE16" s="238">
        <f t="shared" ref="KRE16" si="3950">KRE11*0.0425</f>
        <v>0</v>
      </c>
      <c r="KRG16" s="238">
        <f t="shared" ref="KRG16" si="3951">KRG11*0.0425</f>
        <v>0</v>
      </c>
      <c r="KRI16" s="238">
        <f t="shared" ref="KRI16" si="3952">KRI11*0.0425</f>
        <v>0</v>
      </c>
      <c r="KRK16" s="238">
        <f t="shared" ref="KRK16" si="3953">KRK11*0.0425</f>
        <v>0</v>
      </c>
      <c r="KRM16" s="238">
        <f t="shared" ref="KRM16" si="3954">KRM11*0.0425</f>
        <v>0</v>
      </c>
      <c r="KRO16" s="238">
        <f t="shared" ref="KRO16" si="3955">KRO11*0.0425</f>
        <v>0</v>
      </c>
      <c r="KRQ16" s="238">
        <f t="shared" ref="KRQ16" si="3956">KRQ11*0.0425</f>
        <v>0</v>
      </c>
      <c r="KRS16" s="238">
        <f t="shared" ref="KRS16" si="3957">KRS11*0.0425</f>
        <v>0</v>
      </c>
      <c r="KRU16" s="238">
        <f t="shared" ref="KRU16" si="3958">KRU11*0.0425</f>
        <v>0</v>
      </c>
      <c r="KRW16" s="238">
        <f t="shared" ref="KRW16" si="3959">KRW11*0.0425</f>
        <v>0</v>
      </c>
      <c r="KRY16" s="238">
        <f t="shared" ref="KRY16" si="3960">KRY11*0.0425</f>
        <v>0</v>
      </c>
      <c r="KSA16" s="238">
        <f t="shared" ref="KSA16" si="3961">KSA11*0.0425</f>
        <v>0</v>
      </c>
      <c r="KSC16" s="238">
        <f t="shared" ref="KSC16" si="3962">KSC11*0.0425</f>
        <v>0</v>
      </c>
      <c r="KSE16" s="238">
        <f t="shared" ref="KSE16" si="3963">KSE11*0.0425</f>
        <v>0</v>
      </c>
      <c r="KSG16" s="238">
        <f t="shared" ref="KSG16" si="3964">KSG11*0.0425</f>
        <v>0</v>
      </c>
      <c r="KSI16" s="238">
        <f t="shared" ref="KSI16" si="3965">KSI11*0.0425</f>
        <v>0</v>
      </c>
      <c r="KSK16" s="238">
        <f t="shared" ref="KSK16" si="3966">KSK11*0.0425</f>
        <v>0</v>
      </c>
      <c r="KSM16" s="238">
        <f t="shared" ref="KSM16" si="3967">KSM11*0.0425</f>
        <v>0</v>
      </c>
      <c r="KSO16" s="238">
        <f t="shared" ref="KSO16" si="3968">KSO11*0.0425</f>
        <v>0</v>
      </c>
      <c r="KSQ16" s="238">
        <f t="shared" ref="KSQ16" si="3969">KSQ11*0.0425</f>
        <v>0</v>
      </c>
      <c r="KSS16" s="238">
        <f t="shared" ref="KSS16" si="3970">KSS11*0.0425</f>
        <v>0</v>
      </c>
      <c r="KSU16" s="238">
        <f t="shared" ref="KSU16" si="3971">KSU11*0.0425</f>
        <v>0</v>
      </c>
      <c r="KSW16" s="238">
        <f t="shared" ref="KSW16" si="3972">KSW11*0.0425</f>
        <v>0</v>
      </c>
      <c r="KSY16" s="238">
        <f t="shared" ref="KSY16" si="3973">KSY11*0.0425</f>
        <v>0</v>
      </c>
      <c r="KTA16" s="238">
        <f t="shared" ref="KTA16" si="3974">KTA11*0.0425</f>
        <v>0</v>
      </c>
      <c r="KTC16" s="238">
        <f t="shared" ref="KTC16" si="3975">KTC11*0.0425</f>
        <v>0</v>
      </c>
      <c r="KTE16" s="238">
        <f t="shared" ref="KTE16" si="3976">KTE11*0.0425</f>
        <v>0</v>
      </c>
      <c r="KTG16" s="238">
        <f t="shared" ref="KTG16" si="3977">KTG11*0.0425</f>
        <v>0</v>
      </c>
      <c r="KTI16" s="238">
        <f t="shared" ref="KTI16" si="3978">KTI11*0.0425</f>
        <v>0</v>
      </c>
      <c r="KTK16" s="238">
        <f t="shared" ref="KTK16" si="3979">KTK11*0.0425</f>
        <v>0</v>
      </c>
      <c r="KTM16" s="238">
        <f t="shared" ref="KTM16" si="3980">KTM11*0.0425</f>
        <v>0</v>
      </c>
      <c r="KTO16" s="238">
        <f t="shared" ref="KTO16" si="3981">KTO11*0.0425</f>
        <v>0</v>
      </c>
      <c r="KTQ16" s="238">
        <f t="shared" ref="KTQ16" si="3982">KTQ11*0.0425</f>
        <v>0</v>
      </c>
      <c r="KTS16" s="238">
        <f t="shared" ref="KTS16" si="3983">KTS11*0.0425</f>
        <v>0</v>
      </c>
      <c r="KTU16" s="238">
        <f t="shared" ref="KTU16" si="3984">KTU11*0.0425</f>
        <v>0</v>
      </c>
      <c r="KTW16" s="238">
        <f t="shared" ref="KTW16" si="3985">KTW11*0.0425</f>
        <v>0</v>
      </c>
      <c r="KTY16" s="238">
        <f t="shared" ref="KTY16" si="3986">KTY11*0.0425</f>
        <v>0</v>
      </c>
      <c r="KUA16" s="238">
        <f t="shared" ref="KUA16" si="3987">KUA11*0.0425</f>
        <v>0</v>
      </c>
      <c r="KUC16" s="238">
        <f t="shared" ref="KUC16" si="3988">KUC11*0.0425</f>
        <v>0</v>
      </c>
      <c r="KUE16" s="238">
        <f t="shared" ref="KUE16" si="3989">KUE11*0.0425</f>
        <v>0</v>
      </c>
      <c r="KUG16" s="238">
        <f t="shared" ref="KUG16" si="3990">KUG11*0.0425</f>
        <v>0</v>
      </c>
      <c r="KUI16" s="238">
        <f t="shared" ref="KUI16" si="3991">KUI11*0.0425</f>
        <v>0</v>
      </c>
      <c r="KUK16" s="238">
        <f t="shared" ref="KUK16" si="3992">KUK11*0.0425</f>
        <v>0</v>
      </c>
      <c r="KUM16" s="238">
        <f t="shared" ref="KUM16" si="3993">KUM11*0.0425</f>
        <v>0</v>
      </c>
      <c r="KUO16" s="238">
        <f t="shared" ref="KUO16" si="3994">KUO11*0.0425</f>
        <v>0</v>
      </c>
      <c r="KUQ16" s="238">
        <f t="shared" ref="KUQ16" si="3995">KUQ11*0.0425</f>
        <v>0</v>
      </c>
      <c r="KUS16" s="238">
        <f t="shared" ref="KUS16" si="3996">KUS11*0.0425</f>
        <v>0</v>
      </c>
      <c r="KUU16" s="238">
        <f t="shared" ref="KUU16" si="3997">KUU11*0.0425</f>
        <v>0</v>
      </c>
      <c r="KUW16" s="238">
        <f t="shared" ref="KUW16" si="3998">KUW11*0.0425</f>
        <v>0</v>
      </c>
      <c r="KUY16" s="238">
        <f t="shared" ref="KUY16" si="3999">KUY11*0.0425</f>
        <v>0</v>
      </c>
      <c r="KVA16" s="238">
        <f t="shared" ref="KVA16" si="4000">KVA11*0.0425</f>
        <v>0</v>
      </c>
      <c r="KVC16" s="238">
        <f t="shared" ref="KVC16" si="4001">KVC11*0.0425</f>
        <v>0</v>
      </c>
      <c r="KVE16" s="238">
        <f t="shared" ref="KVE16" si="4002">KVE11*0.0425</f>
        <v>0</v>
      </c>
      <c r="KVG16" s="238">
        <f t="shared" ref="KVG16" si="4003">KVG11*0.0425</f>
        <v>0</v>
      </c>
      <c r="KVI16" s="238">
        <f t="shared" ref="KVI16" si="4004">KVI11*0.0425</f>
        <v>0</v>
      </c>
      <c r="KVK16" s="238">
        <f t="shared" ref="KVK16" si="4005">KVK11*0.0425</f>
        <v>0</v>
      </c>
      <c r="KVM16" s="238">
        <f t="shared" ref="KVM16" si="4006">KVM11*0.0425</f>
        <v>0</v>
      </c>
      <c r="KVO16" s="238">
        <f t="shared" ref="KVO16" si="4007">KVO11*0.0425</f>
        <v>0</v>
      </c>
      <c r="KVQ16" s="238">
        <f t="shared" ref="KVQ16" si="4008">KVQ11*0.0425</f>
        <v>0</v>
      </c>
      <c r="KVS16" s="238">
        <f t="shared" ref="KVS16" si="4009">KVS11*0.0425</f>
        <v>0</v>
      </c>
      <c r="KVU16" s="238">
        <f t="shared" ref="KVU16" si="4010">KVU11*0.0425</f>
        <v>0</v>
      </c>
      <c r="KVW16" s="238">
        <f t="shared" ref="KVW16" si="4011">KVW11*0.0425</f>
        <v>0</v>
      </c>
      <c r="KVY16" s="238">
        <f t="shared" ref="KVY16" si="4012">KVY11*0.0425</f>
        <v>0</v>
      </c>
      <c r="KWA16" s="238">
        <f t="shared" ref="KWA16" si="4013">KWA11*0.0425</f>
        <v>0</v>
      </c>
      <c r="KWC16" s="238">
        <f t="shared" ref="KWC16" si="4014">KWC11*0.0425</f>
        <v>0</v>
      </c>
      <c r="KWE16" s="238">
        <f t="shared" ref="KWE16" si="4015">KWE11*0.0425</f>
        <v>0</v>
      </c>
      <c r="KWG16" s="238">
        <f t="shared" ref="KWG16" si="4016">KWG11*0.0425</f>
        <v>0</v>
      </c>
      <c r="KWI16" s="238">
        <f t="shared" ref="KWI16" si="4017">KWI11*0.0425</f>
        <v>0</v>
      </c>
      <c r="KWK16" s="238">
        <f t="shared" ref="KWK16" si="4018">KWK11*0.0425</f>
        <v>0</v>
      </c>
      <c r="KWM16" s="238">
        <f t="shared" ref="KWM16" si="4019">KWM11*0.0425</f>
        <v>0</v>
      </c>
      <c r="KWO16" s="238">
        <f t="shared" ref="KWO16" si="4020">KWO11*0.0425</f>
        <v>0</v>
      </c>
      <c r="KWQ16" s="238">
        <f t="shared" ref="KWQ16" si="4021">KWQ11*0.0425</f>
        <v>0</v>
      </c>
      <c r="KWS16" s="238">
        <f t="shared" ref="KWS16" si="4022">KWS11*0.0425</f>
        <v>0</v>
      </c>
      <c r="KWU16" s="238">
        <f t="shared" ref="KWU16" si="4023">KWU11*0.0425</f>
        <v>0</v>
      </c>
      <c r="KWW16" s="238">
        <f t="shared" ref="KWW16" si="4024">KWW11*0.0425</f>
        <v>0</v>
      </c>
      <c r="KWY16" s="238">
        <f t="shared" ref="KWY16" si="4025">KWY11*0.0425</f>
        <v>0</v>
      </c>
      <c r="KXA16" s="238">
        <f t="shared" ref="KXA16" si="4026">KXA11*0.0425</f>
        <v>0</v>
      </c>
      <c r="KXC16" s="238">
        <f t="shared" ref="KXC16" si="4027">KXC11*0.0425</f>
        <v>0</v>
      </c>
      <c r="KXE16" s="238">
        <f t="shared" ref="KXE16" si="4028">KXE11*0.0425</f>
        <v>0</v>
      </c>
      <c r="KXG16" s="238">
        <f t="shared" ref="KXG16" si="4029">KXG11*0.0425</f>
        <v>0</v>
      </c>
      <c r="KXI16" s="238">
        <f t="shared" ref="KXI16" si="4030">KXI11*0.0425</f>
        <v>0</v>
      </c>
      <c r="KXK16" s="238">
        <f t="shared" ref="KXK16" si="4031">KXK11*0.0425</f>
        <v>0</v>
      </c>
      <c r="KXM16" s="238">
        <f t="shared" ref="KXM16" si="4032">KXM11*0.0425</f>
        <v>0</v>
      </c>
      <c r="KXO16" s="238">
        <f t="shared" ref="KXO16" si="4033">KXO11*0.0425</f>
        <v>0</v>
      </c>
      <c r="KXQ16" s="238">
        <f t="shared" ref="KXQ16" si="4034">KXQ11*0.0425</f>
        <v>0</v>
      </c>
      <c r="KXS16" s="238">
        <f t="shared" ref="KXS16" si="4035">KXS11*0.0425</f>
        <v>0</v>
      </c>
      <c r="KXU16" s="238">
        <f t="shared" ref="KXU16" si="4036">KXU11*0.0425</f>
        <v>0</v>
      </c>
      <c r="KXW16" s="238">
        <f t="shared" ref="KXW16" si="4037">KXW11*0.0425</f>
        <v>0</v>
      </c>
      <c r="KXY16" s="238">
        <f t="shared" ref="KXY16" si="4038">KXY11*0.0425</f>
        <v>0</v>
      </c>
      <c r="KYA16" s="238">
        <f t="shared" ref="KYA16" si="4039">KYA11*0.0425</f>
        <v>0</v>
      </c>
      <c r="KYC16" s="238">
        <f t="shared" ref="KYC16" si="4040">KYC11*0.0425</f>
        <v>0</v>
      </c>
      <c r="KYE16" s="238">
        <f t="shared" ref="KYE16" si="4041">KYE11*0.0425</f>
        <v>0</v>
      </c>
      <c r="KYG16" s="238">
        <f t="shared" ref="KYG16" si="4042">KYG11*0.0425</f>
        <v>0</v>
      </c>
      <c r="KYI16" s="238">
        <f t="shared" ref="KYI16" si="4043">KYI11*0.0425</f>
        <v>0</v>
      </c>
      <c r="KYK16" s="238">
        <f t="shared" ref="KYK16" si="4044">KYK11*0.0425</f>
        <v>0</v>
      </c>
      <c r="KYM16" s="238">
        <f t="shared" ref="KYM16" si="4045">KYM11*0.0425</f>
        <v>0</v>
      </c>
      <c r="KYO16" s="238">
        <f t="shared" ref="KYO16" si="4046">KYO11*0.0425</f>
        <v>0</v>
      </c>
      <c r="KYQ16" s="238">
        <f t="shared" ref="KYQ16" si="4047">KYQ11*0.0425</f>
        <v>0</v>
      </c>
      <c r="KYS16" s="238">
        <f t="shared" ref="KYS16" si="4048">KYS11*0.0425</f>
        <v>0</v>
      </c>
      <c r="KYU16" s="238">
        <f t="shared" ref="KYU16" si="4049">KYU11*0.0425</f>
        <v>0</v>
      </c>
      <c r="KYW16" s="238">
        <f t="shared" ref="KYW16" si="4050">KYW11*0.0425</f>
        <v>0</v>
      </c>
      <c r="KYY16" s="238">
        <f t="shared" ref="KYY16" si="4051">KYY11*0.0425</f>
        <v>0</v>
      </c>
      <c r="KZA16" s="238">
        <f t="shared" ref="KZA16" si="4052">KZA11*0.0425</f>
        <v>0</v>
      </c>
      <c r="KZC16" s="238">
        <f t="shared" ref="KZC16" si="4053">KZC11*0.0425</f>
        <v>0</v>
      </c>
      <c r="KZE16" s="238">
        <f t="shared" ref="KZE16" si="4054">KZE11*0.0425</f>
        <v>0</v>
      </c>
      <c r="KZG16" s="238">
        <f t="shared" ref="KZG16" si="4055">KZG11*0.0425</f>
        <v>0</v>
      </c>
      <c r="KZI16" s="238">
        <f t="shared" ref="KZI16" si="4056">KZI11*0.0425</f>
        <v>0</v>
      </c>
      <c r="KZK16" s="238">
        <f t="shared" ref="KZK16" si="4057">KZK11*0.0425</f>
        <v>0</v>
      </c>
      <c r="KZM16" s="238">
        <f t="shared" ref="KZM16" si="4058">KZM11*0.0425</f>
        <v>0</v>
      </c>
      <c r="KZO16" s="238">
        <f t="shared" ref="KZO16" si="4059">KZO11*0.0425</f>
        <v>0</v>
      </c>
      <c r="KZQ16" s="238">
        <f t="shared" ref="KZQ16" si="4060">KZQ11*0.0425</f>
        <v>0</v>
      </c>
      <c r="KZS16" s="238">
        <f t="shared" ref="KZS16" si="4061">KZS11*0.0425</f>
        <v>0</v>
      </c>
      <c r="KZU16" s="238">
        <f t="shared" ref="KZU16" si="4062">KZU11*0.0425</f>
        <v>0</v>
      </c>
      <c r="KZW16" s="238">
        <f t="shared" ref="KZW16" si="4063">KZW11*0.0425</f>
        <v>0</v>
      </c>
      <c r="KZY16" s="238">
        <f t="shared" ref="KZY16" si="4064">KZY11*0.0425</f>
        <v>0</v>
      </c>
      <c r="LAA16" s="238">
        <f t="shared" ref="LAA16" si="4065">LAA11*0.0425</f>
        <v>0</v>
      </c>
      <c r="LAC16" s="238">
        <f t="shared" ref="LAC16" si="4066">LAC11*0.0425</f>
        <v>0</v>
      </c>
      <c r="LAE16" s="238">
        <f t="shared" ref="LAE16" si="4067">LAE11*0.0425</f>
        <v>0</v>
      </c>
      <c r="LAG16" s="238">
        <f t="shared" ref="LAG16" si="4068">LAG11*0.0425</f>
        <v>0</v>
      </c>
      <c r="LAI16" s="238">
        <f t="shared" ref="LAI16" si="4069">LAI11*0.0425</f>
        <v>0</v>
      </c>
      <c r="LAK16" s="238">
        <f t="shared" ref="LAK16" si="4070">LAK11*0.0425</f>
        <v>0</v>
      </c>
      <c r="LAM16" s="238">
        <f t="shared" ref="LAM16" si="4071">LAM11*0.0425</f>
        <v>0</v>
      </c>
      <c r="LAO16" s="238">
        <f t="shared" ref="LAO16" si="4072">LAO11*0.0425</f>
        <v>0</v>
      </c>
      <c r="LAQ16" s="238">
        <f t="shared" ref="LAQ16" si="4073">LAQ11*0.0425</f>
        <v>0</v>
      </c>
      <c r="LAS16" s="238">
        <f t="shared" ref="LAS16" si="4074">LAS11*0.0425</f>
        <v>0</v>
      </c>
      <c r="LAU16" s="238">
        <f t="shared" ref="LAU16" si="4075">LAU11*0.0425</f>
        <v>0</v>
      </c>
      <c r="LAW16" s="238">
        <f t="shared" ref="LAW16" si="4076">LAW11*0.0425</f>
        <v>0</v>
      </c>
      <c r="LAY16" s="238">
        <f t="shared" ref="LAY16" si="4077">LAY11*0.0425</f>
        <v>0</v>
      </c>
      <c r="LBA16" s="238">
        <f t="shared" ref="LBA16" si="4078">LBA11*0.0425</f>
        <v>0</v>
      </c>
      <c r="LBC16" s="238">
        <f t="shared" ref="LBC16" si="4079">LBC11*0.0425</f>
        <v>0</v>
      </c>
      <c r="LBE16" s="238">
        <f t="shared" ref="LBE16" si="4080">LBE11*0.0425</f>
        <v>0</v>
      </c>
      <c r="LBG16" s="238">
        <f t="shared" ref="LBG16" si="4081">LBG11*0.0425</f>
        <v>0</v>
      </c>
      <c r="LBI16" s="238">
        <f t="shared" ref="LBI16" si="4082">LBI11*0.0425</f>
        <v>0</v>
      </c>
      <c r="LBK16" s="238">
        <f t="shared" ref="LBK16" si="4083">LBK11*0.0425</f>
        <v>0</v>
      </c>
      <c r="LBM16" s="238">
        <f t="shared" ref="LBM16" si="4084">LBM11*0.0425</f>
        <v>0</v>
      </c>
      <c r="LBO16" s="238">
        <f t="shared" ref="LBO16" si="4085">LBO11*0.0425</f>
        <v>0</v>
      </c>
      <c r="LBQ16" s="238">
        <f t="shared" ref="LBQ16" si="4086">LBQ11*0.0425</f>
        <v>0</v>
      </c>
      <c r="LBS16" s="238">
        <f t="shared" ref="LBS16" si="4087">LBS11*0.0425</f>
        <v>0</v>
      </c>
      <c r="LBU16" s="238">
        <f t="shared" ref="LBU16" si="4088">LBU11*0.0425</f>
        <v>0</v>
      </c>
      <c r="LBW16" s="238">
        <f t="shared" ref="LBW16" si="4089">LBW11*0.0425</f>
        <v>0</v>
      </c>
      <c r="LBY16" s="238">
        <f t="shared" ref="LBY16" si="4090">LBY11*0.0425</f>
        <v>0</v>
      </c>
      <c r="LCA16" s="238">
        <f t="shared" ref="LCA16" si="4091">LCA11*0.0425</f>
        <v>0</v>
      </c>
      <c r="LCC16" s="238">
        <f t="shared" ref="LCC16" si="4092">LCC11*0.0425</f>
        <v>0</v>
      </c>
      <c r="LCE16" s="238">
        <f t="shared" ref="LCE16" si="4093">LCE11*0.0425</f>
        <v>0</v>
      </c>
      <c r="LCG16" s="238">
        <f t="shared" ref="LCG16" si="4094">LCG11*0.0425</f>
        <v>0</v>
      </c>
      <c r="LCI16" s="238">
        <f t="shared" ref="LCI16" si="4095">LCI11*0.0425</f>
        <v>0</v>
      </c>
      <c r="LCK16" s="238">
        <f t="shared" ref="LCK16" si="4096">LCK11*0.0425</f>
        <v>0</v>
      </c>
      <c r="LCM16" s="238">
        <f t="shared" ref="LCM16" si="4097">LCM11*0.0425</f>
        <v>0</v>
      </c>
      <c r="LCO16" s="238">
        <f t="shared" ref="LCO16" si="4098">LCO11*0.0425</f>
        <v>0</v>
      </c>
      <c r="LCQ16" s="238">
        <f t="shared" ref="LCQ16" si="4099">LCQ11*0.0425</f>
        <v>0</v>
      </c>
      <c r="LCS16" s="238">
        <f t="shared" ref="LCS16" si="4100">LCS11*0.0425</f>
        <v>0</v>
      </c>
      <c r="LCU16" s="238">
        <f t="shared" ref="LCU16" si="4101">LCU11*0.0425</f>
        <v>0</v>
      </c>
      <c r="LCW16" s="238">
        <f t="shared" ref="LCW16" si="4102">LCW11*0.0425</f>
        <v>0</v>
      </c>
      <c r="LCY16" s="238">
        <f t="shared" ref="LCY16" si="4103">LCY11*0.0425</f>
        <v>0</v>
      </c>
      <c r="LDA16" s="238">
        <f t="shared" ref="LDA16" si="4104">LDA11*0.0425</f>
        <v>0</v>
      </c>
      <c r="LDC16" s="238">
        <f t="shared" ref="LDC16" si="4105">LDC11*0.0425</f>
        <v>0</v>
      </c>
      <c r="LDE16" s="238">
        <f t="shared" ref="LDE16" si="4106">LDE11*0.0425</f>
        <v>0</v>
      </c>
      <c r="LDG16" s="238">
        <f t="shared" ref="LDG16" si="4107">LDG11*0.0425</f>
        <v>0</v>
      </c>
      <c r="LDI16" s="238">
        <f t="shared" ref="LDI16" si="4108">LDI11*0.0425</f>
        <v>0</v>
      </c>
      <c r="LDK16" s="238">
        <f t="shared" ref="LDK16" si="4109">LDK11*0.0425</f>
        <v>0</v>
      </c>
      <c r="LDM16" s="238">
        <f t="shared" ref="LDM16" si="4110">LDM11*0.0425</f>
        <v>0</v>
      </c>
      <c r="LDO16" s="238">
        <f t="shared" ref="LDO16" si="4111">LDO11*0.0425</f>
        <v>0</v>
      </c>
      <c r="LDQ16" s="238">
        <f t="shared" ref="LDQ16" si="4112">LDQ11*0.0425</f>
        <v>0</v>
      </c>
      <c r="LDS16" s="238">
        <f t="shared" ref="LDS16" si="4113">LDS11*0.0425</f>
        <v>0</v>
      </c>
      <c r="LDU16" s="238">
        <f t="shared" ref="LDU16" si="4114">LDU11*0.0425</f>
        <v>0</v>
      </c>
      <c r="LDW16" s="238">
        <f t="shared" ref="LDW16" si="4115">LDW11*0.0425</f>
        <v>0</v>
      </c>
      <c r="LDY16" s="238">
        <f t="shared" ref="LDY16" si="4116">LDY11*0.0425</f>
        <v>0</v>
      </c>
      <c r="LEA16" s="238">
        <f t="shared" ref="LEA16" si="4117">LEA11*0.0425</f>
        <v>0</v>
      </c>
      <c r="LEC16" s="238">
        <f t="shared" ref="LEC16" si="4118">LEC11*0.0425</f>
        <v>0</v>
      </c>
      <c r="LEE16" s="238">
        <f t="shared" ref="LEE16" si="4119">LEE11*0.0425</f>
        <v>0</v>
      </c>
      <c r="LEG16" s="238">
        <f t="shared" ref="LEG16" si="4120">LEG11*0.0425</f>
        <v>0</v>
      </c>
      <c r="LEI16" s="238">
        <f t="shared" ref="LEI16" si="4121">LEI11*0.0425</f>
        <v>0</v>
      </c>
      <c r="LEK16" s="238">
        <f t="shared" ref="LEK16" si="4122">LEK11*0.0425</f>
        <v>0</v>
      </c>
      <c r="LEM16" s="238">
        <f t="shared" ref="LEM16" si="4123">LEM11*0.0425</f>
        <v>0</v>
      </c>
      <c r="LEO16" s="238">
        <f t="shared" ref="LEO16" si="4124">LEO11*0.0425</f>
        <v>0</v>
      </c>
      <c r="LEQ16" s="238">
        <f t="shared" ref="LEQ16" si="4125">LEQ11*0.0425</f>
        <v>0</v>
      </c>
      <c r="LES16" s="238">
        <f t="shared" ref="LES16" si="4126">LES11*0.0425</f>
        <v>0</v>
      </c>
      <c r="LEU16" s="238">
        <f t="shared" ref="LEU16" si="4127">LEU11*0.0425</f>
        <v>0</v>
      </c>
      <c r="LEW16" s="238">
        <f t="shared" ref="LEW16" si="4128">LEW11*0.0425</f>
        <v>0</v>
      </c>
      <c r="LEY16" s="238">
        <f t="shared" ref="LEY16" si="4129">LEY11*0.0425</f>
        <v>0</v>
      </c>
      <c r="LFA16" s="238">
        <f t="shared" ref="LFA16" si="4130">LFA11*0.0425</f>
        <v>0</v>
      </c>
      <c r="LFC16" s="238">
        <f t="shared" ref="LFC16" si="4131">LFC11*0.0425</f>
        <v>0</v>
      </c>
      <c r="LFE16" s="238">
        <f t="shared" ref="LFE16" si="4132">LFE11*0.0425</f>
        <v>0</v>
      </c>
      <c r="LFG16" s="238">
        <f t="shared" ref="LFG16" si="4133">LFG11*0.0425</f>
        <v>0</v>
      </c>
      <c r="LFI16" s="238">
        <f t="shared" ref="LFI16" si="4134">LFI11*0.0425</f>
        <v>0</v>
      </c>
      <c r="LFK16" s="238">
        <f t="shared" ref="LFK16" si="4135">LFK11*0.0425</f>
        <v>0</v>
      </c>
      <c r="LFM16" s="238">
        <f t="shared" ref="LFM16" si="4136">LFM11*0.0425</f>
        <v>0</v>
      </c>
      <c r="LFO16" s="238">
        <f t="shared" ref="LFO16" si="4137">LFO11*0.0425</f>
        <v>0</v>
      </c>
      <c r="LFQ16" s="238">
        <f t="shared" ref="LFQ16" si="4138">LFQ11*0.0425</f>
        <v>0</v>
      </c>
      <c r="LFS16" s="238">
        <f t="shared" ref="LFS16" si="4139">LFS11*0.0425</f>
        <v>0</v>
      </c>
      <c r="LFU16" s="238">
        <f t="shared" ref="LFU16" si="4140">LFU11*0.0425</f>
        <v>0</v>
      </c>
      <c r="LFW16" s="238">
        <f t="shared" ref="LFW16" si="4141">LFW11*0.0425</f>
        <v>0</v>
      </c>
      <c r="LFY16" s="238">
        <f t="shared" ref="LFY16" si="4142">LFY11*0.0425</f>
        <v>0</v>
      </c>
      <c r="LGA16" s="238">
        <f t="shared" ref="LGA16" si="4143">LGA11*0.0425</f>
        <v>0</v>
      </c>
      <c r="LGC16" s="238">
        <f t="shared" ref="LGC16" si="4144">LGC11*0.0425</f>
        <v>0</v>
      </c>
      <c r="LGE16" s="238">
        <f t="shared" ref="LGE16" si="4145">LGE11*0.0425</f>
        <v>0</v>
      </c>
      <c r="LGG16" s="238">
        <f t="shared" ref="LGG16" si="4146">LGG11*0.0425</f>
        <v>0</v>
      </c>
      <c r="LGI16" s="238">
        <f t="shared" ref="LGI16" si="4147">LGI11*0.0425</f>
        <v>0</v>
      </c>
      <c r="LGK16" s="238">
        <f t="shared" ref="LGK16" si="4148">LGK11*0.0425</f>
        <v>0</v>
      </c>
      <c r="LGM16" s="238">
        <f t="shared" ref="LGM16" si="4149">LGM11*0.0425</f>
        <v>0</v>
      </c>
      <c r="LGO16" s="238">
        <f t="shared" ref="LGO16" si="4150">LGO11*0.0425</f>
        <v>0</v>
      </c>
      <c r="LGQ16" s="238">
        <f t="shared" ref="LGQ16" si="4151">LGQ11*0.0425</f>
        <v>0</v>
      </c>
      <c r="LGS16" s="238">
        <f t="shared" ref="LGS16" si="4152">LGS11*0.0425</f>
        <v>0</v>
      </c>
      <c r="LGU16" s="238">
        <f t="shared" ref="LGU16" si="4153">LGU11*0.0425</f>
        <v>0</v>
      </c>
      <c r="LGW16" s="238">
        <f t="shared" ref="LGW16" si="4154">LGW11*0.0425</f>
        <v>0</v>
      </c>
      <c r="LGY16" s="238">
        <f t="shared" ref="LGY16" si="4155">LGY11*0.0425</f>
        <v>0</v>
      </c>
      <c r="LHA16" s="238">
        <f t="shared" ref="LHA16" si="4156">LHA11*0.0425</f>
        <v>0</v>
      </c>
      <c r="LHC16" s="238">
        <f t="shared" ref="LHC16" si="4157">LHC11*0.0425</f>
        <v>0</v>
      </c>
      <c r="LHE16" s="238">
        <f t="shared" ref="LHE16" si="4158">LHE11*0.0425</f>
        <v>0</v>
      </c>
      <c r="LHG16" s="238">
        <f t="shared" ref="LHG16" si="4159">LHG11*0.0425</f>
        <v>0</v>
      </c>
      <c r="LHI16" s="238">
        <f t="shared" ref="LHI16" si="4160">LHI11*0.0425</f>
        <v>0</v>
      </c>
      <c r="LHK16" s="238">
        <f t="shared" ref="LHK16" si="4161">LHK11*0.0425</f>
        <v>0</v>
      </c>
      <c r="LHM16" s="238">
        <f t="shared" ref="LHM16" si="4162">LHM11*0.0425</f>
        <v>0</v>
      </c>
      <c r="LHO16" s="238">
        <f t="shared" ref="LHO16" si="4163">LHO11*0.0425</f>
        <v>0</v>
      </c>
      <c r="LHQ16" s="238">
        <f t="shared" ref="LHQ16" si="4164">LHQ11*0.0425</f>
        <v>0</v>
      </c>
      <c r="LHS16" s="238">
        <f t="shared" ref="LHS16" si="4165">LHS11*0.0425</f>
        <v>0</v>
      </c>
      <c r="LHU16" s="238">
        <f t="shared" ref="LHU16" si="4166">LHU11*0.0425</f>
        <v>0</v>
      </c>
      <c r="LHW16" s="238">
        <f t="shared" ref="LHW16" si="4167">LHW11*0.0425</f>
        <v>0</v>
      </c>
      <c r="LHY16" s="238">
        <f t="shared" ref="LHY16" si="4168">LHY11*0.0425</f>
        <v>0</v>
      </c>
      <c r="LIA16" s="238">
        <f t="shared" ref="LIA16" si="4169">LIA11*0.0425</f>
        <v>0</v>
      </c>
      <c r="LIC16" s="238">
        <f t="shared" ref="LIC16" si="4170">LIC11*0.0425</f>
        <v>0</v>
      </c>
      <c r="LIE16" s="238">
        <f t="shared" ref="LIE16" si="4171">LIE11*0.0425</f>
        <v>0</v>
      </c>
      <c r="LIG16" s="238">
        <f t="shared" ref="LIG16" si="4172">LIG11*0.0425</f>
        <v>0</v>
      </c>
      <c r="LII16" s="238">
        <f t="shared" ref="LII16" si="4173">LII11*0.0425</f>
        <v>0</v>
      </c>
      <c r="LIK16" s="238">
        <f t="shared" ref="LIK16" si="4174">LIK11*0.0425</f>
        <v>0</v>
      </c>
      <c r="LIM16" s="238">
        <f t="shared" ref="LIM16" si="4175">LIM11*0.0425</f>
        <v>0</v>
      </c>
      <c r="LIO16" s="238">
        <f t="shared" ref="LIO16" si="4176">LIO11*0.0425</f>
        <v>0</v>
      </c>
      <c r="LIQ16" s="238">
        <f t="shared" ref="LIQ16" si="4177">LIQ11*0.0425</f>
        <v>0</v>
      </c>
      <c r="LIS16" s="238">
        <f t="shared" ref="LIS16" si="4178">LIS11*0.0425</f>
        <v>0</v>
      </c>
      <c r="LIU16" s="238">
        <f t="shared" ref="LIU16" si="4179">LIU11*0.0425</f>
        <v>0</v>
      </c>
      <c r="LIW16" s="238">
        <f t="shared" ref="LIW16" si="4180">LIW11*0.0425</f>
        <v>0</v>
      </c>
      <c r="LIY16" s="238">
        <f t="shared" ref="LIY16" si="4181">LIY11*0.0425</f>
        <v>0</v>
      </c>
      <c r="LJA16" s="238">
        <f t="shared" ref="LJA16" si="4182">LJA11*0.0425</f>
        <v>0</v>
      </c>
      <c r="LJC16" s="238">
        <f t="shared" ref="LJC16" si="4183">LJC11*0.0425</f>
        <v>0</v>
      </c>
      <c r="LJE16" s="238">
        <f t="shared" ref="LJE16" si="4184">LJE11*0.0425</f>
        <v>0</v>
      </c>
      <c r="LJG16" s="238">
        <f t="shared" ref="LJG16" si="4185">LJG11*0.0425</f>
        <v>0</v>
      </c>
      <c r="LJI16" s="238">
        <f t="shared" ref="LJI16" si="4186">LJI11*0.0425</f>
        <v>0</v>
      </c>
      <c r="LJK16" s="238">
        <f t="shared" ref="LJK16" si="4187">LJK11*0.0425</f>
        <v>0</v>
      </c>
      <c r="LJM16" s="238">
        <f t="shared" ref="LJM16" si="4188">LJM11*0.0425</f>
        <v>0</v>
      </c>
      <c r="LJO16" s="238">
        <f t="shared" ref="LJO16" si="4189">LJO11*0.0425</f>
        <v>0</v>
      </c>
      <c r="LJQ16" s="238">
        <f t="shared" ref="LJQ16" si="4190">LJQ11*0.0425</f>
        <v>0</v>
      </c>
      <c r="LJS16" s="238">
        <f t="shared" ref="LJS16" si="4191">LJS11*0.0425</f>
        <v>0</v>
      </c>
      <c r="LJU16" s="238">
        <f t="shared" ref="LJU16" si="4192">LJU11*0.0425</f>
        <v>0</v>
      </c>
      <c r="LJW16" s="238">
        <f t="shared" ref="LJW16" si="4193">LJW11*0.0425</f>
        <v>0</v>
      </c>
      <c r="LJY16" s="238">
        <f t="shared" ref="LJY16" si="4194">LJY11*0.0425</f>
        <v>0</v>
      </c>
      <c r="LKA16" s="238">
        <f t="shared" ref="LKA16" si="4195">LKA11*0.0425</f>
        <v>0</v>
      </c>
      <c r="LKC16" s="238">
        <f t="shared" ref="LKC16" si="4196">LKC11*0.0425</f>
        <v>0</v>
      </c>
      <c r="LKE16" s="238">
        <f t="shared" ref="LKE16" si="4197">LKE11*0.0425</f>
        <v>0</v>
      </c>
      <c r="LKG16" s="238">
        <f t="shared" ref="LKG16" si="4198">LKG11*0.0425</f>
        <v>0</v>
      </c>
      <c r="LKI16" s="238">
        <f t="shared" ref="LKI16" si="4199">LKI11*0.0425</f>
        <v>0</v>
      </c>
      <c r="LKK16" s="238">
        <f t="shared" ref="LKK16" si="4200">LKK11*0.0425</f>
        <v>0</v>
      </c>
      <c r="LKM16" s="238">
        <f t="shared" ref="LKM16" si="4201">LKM11*0.0425</f>
        <v>0</v>
      </c>
      <c r="LKO16" s="238">
        <f t="shared" ref="LKO16" si="4202">LKO11*0.0425</f>
        <v>0</v>
      </c>
      <c r="LKQ16" s="238">
        <f t="shared" ref="LKQ16" si="4203">LKQ11*0.0425</f>
        <v>0</v>
      </c>
      <c r="LKS16" s="238">
        <f t="shared" ref="LKS16" si="4204">LKS11*0.0425</f>
        <v>0</v>
      </c>
      <c r="LKU16" s="238">
        <f t="shared" ref="LKU16" si="4205">LKU11*0.0425</f>
        <v>0</v>
      </c>
      <c r="LKW16" s="238">
        <f t="shared" ref="LKW16" si="4206">LKW11*0.0425</f>
        <v>0</v>
      </c>
      <c r="LKY16" s="238">
        <f t="shared" ref="LKY16" si="4207">LKY11*0.0425</f>
        <v>0</v>
      </c>
      <c r="LLA16" s="238">
        <f t="shared" ref="LLA16" si="4208">LLA11*0.0425</f>
        <v>0</v>
      </c>
      <c r="LLC16" s="238">
        <f t="shared" ref="LLC16" si="4209">LLC11*0.0425</f>
        <v>0</v>
      </c>
      <c r="LLE16" s="238">
        <f t="shared" ref="LLE16" si="4210">LLE11*0.0425</f>
        <v>0</v>
      </c>
      <c r="LLG16" s="238">
        <f t="shared" ref="LLG16" si="4211">LLG11*0.0425</f>
        <v>0</v>
      </c>
      <c r="LLI16" s="238">
        <f t="shared" ref="LLI16" si="4212">LLI11*0.0425</f>
        <v>0</v>
      </c>
      <c r="LLK16" s="238">
        <f t="shared" ref="LLK16" si="4213">LLK11*0.0425</f>
        <v>0</v>
      </c>
      <c r="LLM16" s="238">
        <f t="shared" ref="LLM16" si="4214">LLM11*0.0425</f>
        <v>0</v>
      </c>
      <c r="LLO16" s="238">
        <f t="shared" ref="LLO16" si="4215">LLO11*0.0425</f>
        <v>0</v>
      </c>
      <c r="LLQ16" s="238">
        <f t="shared" ref="LLQ16" si="4216">LLQ11*0.0425</f>
        <v>0</v>
      </c>
      <c r="LLS16" s="238">
        <f t="shared" ref="LLS16" si="4217">LLS11*0.0425</f>
        <v>0</v>
      </c>
      <c r="LLU16" s="238">
        <f t="shared" ref="LLU16" si="4218">LLU11*0.0425</f>
        <v>0</v>
      </c>
      <c r="LLW16" s="238">
        <f t="shared" ref="LLW16" si="4219">LLW11*0.0425</f>
        <v>0</v>
      </c>
      <c r="LLY16" s="238">
        <f t="shared" ref="LLY16" si="4220">LLY11*0.0425</f>
        <v>0</v>
      </c>
      <c r="LMA16" s="238">
        <f t="shared" ref="LMA16" si="4221">LMA11*0.0425</f>
        <v>0</v>
      </c>
      <c r="LMC16" s="238">
        <f t="shared" ref="LMC16" si="4222">LMC11*0.0425</f>
        <v>0</v>
      </c>
      <c r="LME16" s="238">
        <f t="shared" ref="LME16" si="4223">LME11*0.0425</f>
        <v>0</v>
      </c>
      <c r="LMG16" s="238">
        <f t="shared" ref="LMG16" si="4224">LMG11*0.0425</f>
        <v>0</v>
      </c>
      <c r="LMI16" s="238">
        <f t="shared" ref="LMI16" si="4225">LMI11*0.0425</f>
        <v>0</v>
      </c>
      <c r="LMK16" s="238">
        <f t="shared" ref="LMK16" si="4226">LMK11*0.0425</f>
        <v>0</v>
      </c>
      <c r="LMM16" s="238">
        <f t="shared" ref="LMM16" si="4227">LMM11*0.0425</f>
        <v>0</v>
      </c>
      <c r="LMO16" s="238">
        <f t="shared" ref="LMO16" si="4228">LMO11*0.0425</f>
        <v>0</v>
      </c>
      <c r="LMQ16" s="238">
        <f t="shared" ref="LMQ16" si="4229">LMQ11*0.0425</f>
        <v>0</v>
      </c>
      <c r="LMS16" s="238">
        <f t="shared" ref="LMS16" si="4230">LMS11*0.0425</f>
        <v>0</v>
      </c>
      <c r="LMU16" s="238">
        <f t="shared" ref="LMU16" si="4231">LMU11*0.0425</f>
        <v>0</v>
      </c>
      <c r="LMW16" s="238">
        <f t="shared" ref="LMW16" si="4232">LMW11*0.0425</f>
        <v>0</v>
      </c>
      <c r="LMY16" s="238">
        <f t="shared" ref="LMY16" si="4233">LMY11*0.0425</f>
        <v>0</v>
      </c>
      <c r="LNA16" s="238">
        <f t="shared" ref="LNA16" si="4234">LNA11*0.0425</f>
        <v>0</v>
      </c>
      <c r="LNC16" s="238">
        <f t="shared" ref="LNC16" si="4235">LNC11*0.0425</f>
        <v>0</v>
      </c>
      <c r="LNE16" s="238">
        <f t="shared" ref="LNE16" si="4236">LNE11*0.0425</f>
        <v>0</v>
      </c>
      <c r="LNG16" s="238">
        <f t="shared" ref="LNG16" si="4237">LNG11*0.0425</f>
        <v>0</v>
      </c>
      <c r="LNI16" s="238">
        <f t="shared" ref="LNI16" si="4238">LNI11*0.0425</f>
        <v>0</v>
      </c>
      <c r="LNK16" s="238">
        <f t="shared" ref="LNK16" si="4239">LNK11*0.0425</f>
        <v>0</v>
      </c>
      <c r="LNM16" s="238">
        <f t="shared" ref="LNM16" si="4240">LNM11*0.0425</f>
        <v>0</v>
      </c>
      <c r="LNO16" s="238">
        <f t="shared" ref="LNO16" si="4241">LNO11*0.0425</f>
        <v>0</v>
      </c>
      <c r="LNQ16" s="238">
        <f t="shared" ref="LNQ16" si="4242">LNQ11*0.0425</f>
        <v>0</v>
      </c>
      <c r="LNS16" s="238">
        <f t="shared" ref="LNS16" si="4243">LNS11*0.0425</f>
        <v>0</v>
      </c>
      <c r="LNU16" s="238">
        <f t="shared" ref="LNU16" si="4244">LNU11*0.0425</f>
        <v>0</v>
      </c>
      <c r="LNW16" s="238">
        <f t="shared" ref="LNW16" si="4245">LNW11*0.0425</f>
        <v>0</v>
      </c>
      <c r="LNY16" s="238">
        <f t="shared" ref="LNY16" si="4246">LNY11*0.0425</f>
        <v>0</v>
      </c>
      <c r="LOA16" s="238">
        <f t="shared" ref="LOA16" si="4247">LOA11*0.0425</f>
        <v>0</v>
      </c>
      <c r="LOC16" s="238">
        <f t="shared" ref="LOC16" si="4248">LOC11*0.0425</f>
        <v>0</v>
      </c>
      <c r="LOE16" s="238">
        <f t="shared" ref="LOE16" si="4249">LOE11*0.0425</f>
        <v>0</v>
      </c>
      <c r="LOG16" s="238">
        <f t="shared" ref="LOG16" si="4250">LOG11*0.0425</f>
        <v>0</v>
      </c>
      <c r="LOI16" s="238">
        <f t="shared" ref="LOI16" si="4251">LOI11*0.0425</f>
        <v>0</v>
      </c>
      <c r="LOK16" s="238">
        <f t="shared" ref="LOK16" si="4252">LOK11*0.0425</f>
        <v>0</v>
      </c>
      <c r="LOM16" s="238">
        <f t="shared" ref="LOM16" si="4253">LOM11*0.0425</f>
        <v>0</v>
      </c>
      <c r="LOO16" s="238">
        <f t="shared" ref="LOO16" si="4254">LOO11*0.0425</f>
        <v>0</v>
      </c>
      <c r="LOQ16" s="238">
        <f t="shared" ref="LOQ16" si="4255">LOQ11*0.0425</f>
        <v>0</v>
      </c>
      <c r="LOS16" s="238">
        <f t="shared" ref="LOS16" si="4256">LOS11*0.0425</f>
        <v>0</v>
      </c>
      <c r="LOU16" s="238">
        <f t="shared" ref="LOU16" si="4257">LOU11*0.0425</f>
        <v>0</v>
      </c>
      <c r="LOW16" s="238">
        <f t="shared" ref="LOW16" si="4258">LOW11*0.0425</f>
        <v>0</v>
      </c>
      <c r="LOY16" s="238">
        <f t="shared" ref="LOY16" si="4259">LOY11*0.0425</f>
        <v>0</v>
      </c>
      <c r="LPA16" s="238">
        <f t="shared" ref="LPA16" si="4260">LPA11*0.0425</f>
        <v>0</v>
      </c>
      <c r="LPC16" s="238">
        <f t="shared" ref="LPC16" si="4261">LPC11*0.0425</f>
        <v>0</v>
      </c>
      <c r="LPE16" s="238">
        <f t="shared" ref="LPE16" si="4262">LPE11*0.0425</f>
        <v>0</v>
      </c>
      <c r="LPG16" s="238">
        <f t="shared" ref="LPG16" si="4263">LPG11*0.0425</f>
        <v>0</v>
      </c>
      <c r="LPI16" s="238">
        <f t="shared" ref="LPI16" si="4264">LPI11*0.0425</f>
        <v>0</v>
      </c>
      <c r="LPK16" s="238">
        <f t="shared" ref="LPK16" si="4265">LPK11*0.0425</f>
        <v>0</v>
      </c>
      <c r="LPM16" s="238">
        <f t="shared" ref="LPM16" si="4266">LPM11*0.0425</f>
        <v>0</v>
      </c>
      <c r="LPO16" s="238">
        <f t="shared" ref="LPO16" si="4267">LPO11*0.0425</f>
        <v>0</v>
      </c>
      <c r="LPQ16" s="238">
        <f t="shared" ref="LPQ16" si="4268">LPQ11*0.0425</f>
        <v>0</v>
      </c>
      <c r="LPS16" s="238">
        <f t="shared" ref="LPS16" si="4269">LPS11*0.0425</f>
        <v>0</v>
      </c>
      <c r="LPU16" s="238">
        <f t="shared" ref="LPU16" si="4270">LPU11*0.0425</f>
        <v>0</v>
      </c>
      <c r="LPW16" s="238">
        <f t="shared" ref="LPW16" si="4271">LPW11*0.0425</f>
        <v>0</v>
      </c>
      <c r="LPY16" s="238">
        <f t="shared" ref="LPY16" si="4272">LPY11*0.0425</f>
        <v>0</v>
      </c>
      <c r="LQA16" s="238">
        <f t="shared" ref="LQA16" si="4273">LQA11*0.0425</f>
        <v>0</v>
      </c>
      <c r="LQC16" s="238">
        <f t="shared" ref="LQC16" si="4274">LQC11*0.0425</f>
        <v>0</v>
      </c>
      <c r="LQE16" s="238">
        <f t="shared" ref="LQE16" si="4275">LQE11*0.0425</f>
        <v>0</v>
      </c>
      <c r="LQG16" s="238">
        <f t="shared" ref="LQG16" si="4276">LQG11*0.0425</f>
        <v>0</v>
      </c>
      <c r="LQI16" s="238">
        <f t="shared" ref="LQI16" si="4277">LQI11*0.0425</f>
        <v>0</v>
      </c>
      <c r="LQK16" s="238">
        <f t="shared" ref="LQK16" si="4278">LQK11*0.0425</f>
        <v>0</v>
      </c>
      <c r="LQM16" s="238">
        <f t="shared" ref="LQM16" si="4279">LQM11*0.0425</f>
        <v>0</v>
      </c>
      <c r="LQO16" s="238">
        <f t="shared" ref="LQO16" si="4280">LQO11*0.0425</f>
        <v>0</v>
      </c>
      <c r="LQQ16" s="238">
        <f t="shared" ref="LQQ16" si="4281">LQQ11*0.0425</f>
        <v>0</v>
      </c>
      <c r="LQS16" s="238">
        <f t="shared" ref="LQS16" si="4282">LQS11*0.0425</f>
        <v>0</v>
      </c>
      <c r="LQU16" s="238">
        <f t="shared" ref="LQU16" si="4283">LQU11*0.0425</f>
        <v>0</v>
      </c>
      <c r="LQW16" s="238">
        <f t="shared" ref="LQW16" si="4284">LQW11*0.0425</f>
        <v>0</v>
      </c>
      <c r="LQY16" s="238">
        <f t="shared" ref="LQY16" si="4285">LQY11*0.0425</f>
        <v>0</v>
      </c>
      <c r="LRA16" s="238">
        <f t="shared" ref="LRA16" si="4286">LRA11*0.0425</f>
        <v>0</v>
      </c>
      <c r="LRC16" s="238">
        <f t="shared" ref="LRC16" si="4287">LRC11*0.0425</f>
        <v>0</v>
      </c>
      <c r="LRE16" s="238">
        <f t="shared" ref="LRE16" si="4288">LRE11*0.0425</f>
        <v>0</v>
      </c>
      <c r="LRG16" s="238">
        <f t="shared" ref="LRG16" si="4289">LRG11*0.0425</f>
        <v>0</v>
      </c>
      <c r="LRI16" s="238">
        <f t="shared" ref="LRI16" si="4290">LRI11*0.0425</f>
        <v>0</v>
      </c>
      <c r="LRK16" s="238">
        <f t="shared" ref="LRK16" si="4291">LRK11*0.0425</f>
        <v>0</v>
      </c>
      <c r="LRM16" s="238">
        <f t="shared" ref="LRM16" si="4292">LRM11*0.0425</f>
        <v>0</v>
      </c>
      <c r="LRO16" s="238">
        <f t="shared" ref="LRO16" si="4293">LRO11*0.0425</f>
        <v>0</v>
      </c>
      <c r="LRQ16" s="238">
        <f t="shared" ref="LRQ16" si="4294">LRQ11*0.0425</f>
        <v>0</v>
      </c>
      <c r="LRS16" s="238">
        <f t="shared" ref="LRS16" si="4295">LRS11*0.0425</f>
        <v>0</v>
      </c>
      <c r="LRU16" s="238">
        <f t="shared" ref="LRU16" si="4296">LRU11*0.0425</f>
        <v>0</v>
      </c>
      <c r="LRW16" s="238">
        <f t="shared" ref="LRW16" si="4297">LRW11*0.0425</f>
        <v>0</v>
      </c>
      <c r="LRY16" s="238">
        <f t="shared" ref="LRY16" si="4298">LRY11*0.0425</f>
        <v>0</v>
      </c>
      <c r="LSA16" s="238">
        <f t="shared" ref="LSA16" si="4299">LSA11*0.0425</f>
        <v>0</v>
      </c>
      <c r="LSC16" s="238">
        <f t="shared" ref="LSC16" si="4300">LSC11*0.0425</f>
        <v>0</v>
      </c>
      <c r="LSE16" s="238">
        <f t="shared" ref="LSE16" si="4301">LSE11*0.0425</f>
        <v>0</v>
      </c>
      <c r="LSG16" s="238">
        <f t="shared" ref="LSG16" si="4302">LSG11*0.0425</f>
        <v>0</v>
      </c>
      <c r="LSI16" s="238">
        <f t="shared" ref="LSI16" si="4303">LSI11*0.0425</f>
        <v>0</v>
      </c>
      <c r="LSK16" s="238">
        <f t="shared" ref="LSK16" si="4304">LSK11*0.0425</f>
        <v>0</v>
      </c>
      <c r="LSM16" s="238">
        <f t="shared" ref="LSM16" si="4305">LSM11*0.0425</f>
        <v>0</v>
      </c>
      <c r="LSO16" s="238">
        <f t="shared" ref="LSO16" si="4306">LSO11*0.0425</f>
        <v>0</v>
      </c>
      <c r="LSQ16" s="238">
        <f t="shared" ref="LSQ16" si="4307">LSQ11*0.0425</f>
        <v>0</v>
      </c>
      <c r="LSS16" s="238">
        <f t="shared" ref="LSS16" si="4308">LSS11*0.0425</f>
        <v>0</v>
      </c>
      <c r="LSU16" s="238">
        <f t="shared" ref="LSU16" si="4309">LSU11*0.0425</f>
        <v>0</v>
      </c>
      <c r="LSW16" s="238">
        <f t="shared" ref="LSW16" si="4310">LSW11*0.0425</f>
        <v>0</v>
      </c>
      <c r="LSY16" s="238">
        <f t="shared" ref="LSY16" si="4311">LSY11*0.0425</f>
        <v>0</v>
      </c>
      <c r="LTA16" s="238">
        <f t="shared" ref="LTA16" si="4312">LTA11*0.0425</f>
        <v>0</v>
      </c>
      <c r="LTC16" s="238">
        <f t="shared" ref="LTC16" si="4313">LTC11*0.0425</f>
        <v>0</v>
      </c>
      <c r="LTE16" s="238">
        <f t="shared" ref="LTE16" si="4314">LTE11*0.0425</f>
        <v>0</v>
      </c>
      <c r="LTG16" s="238">
        <f t="shared" ref="LTG16" si="4315">LTG11*0.0425</f>
        <v>0</v>
      </c>
      <c r="LTI16" s="238">
        <f t="shared" ref="LTI16" si="4316">LTI11*0.0425</f>
        <v>0</v>
      </c>
      <c r="LTK16" s="238">
        <f t="shared" ref="LTK16" si="4317">LTK11*0.0425</f>
        <v>0</v>
      </c>
      <c r="LTM16" s="238">
        <f t="shared" ref="LTM16" si="4318">LTM11*0.0425</f>
        <v>0</v>
      </c>
      <c r="LTO16" s="238">
        <f t="shared" ref="LTO16" si="4319">LTO11*0.0425</f>
        <v>0</v>
      </c>
      <c r="LTQ16" s="238">
        <f t="shared" ref="LTQ16" si="4320">LTQ11*0.0425</f>
        <v>0</v>
      </c>
      <c r="LTS16" s="238">
        <f t="shared" ref="LTS16" si="4321">LTS11*0.0425</f>
        <v>0</v>
      </c>
      <c r="LTU16" s="238">
        <f t="shared" ref="LTU16" si="4322">LTU11*0.0425</f>
        <v>0</v>
      </c>
      <c r="LTW16" s="238">
        <f t="shared" ref="LTW16" si="4323">LTW11*0.0425</f>
        <v>0</v>
      </c>
      <c r="LTY16" s="238">
        <f t="shared" ref="LTY16" si="4324">LTY11*0.0425</f>
        <v>0</v>
      </c>
      <c r="LUA16" s="238">
        <f t="shared" ref="LUA16" si="4325">LUA11*0.0425</f>
        <v>0</v>
      </c>
      <c r="LUC16" s="238">
        <f t="shared" ref="LUC16" si="4326">LUC11*0.0425</f>
        <v>0</v>
      </c>
      <c r="LUE16" s="238">
        <f t="shared" ref="LUE16" si="4327">LUE11*0.0425</f>
        <v>0</v>
      </c>
      <c r="LUG16" s="238">
        <f t="shared" ref="LUG16" si="4328">LUG11*0.0425</f>
        <v>0</v>
      </c>
      <c r="LUI16" s="238">
        <f t="shared" ref="LUI16" si="4329">LUI11*0.0425</f>
        <v>0</v>
      </c>
      <c r="LUK16" s="238">
        <f t="shared" ref="LUK16" si="4330">LUK11*0.0425</f>
        <v>0</v>
      </c>
      <c r="LUM16" s="238">
        <f t="shared" ref="LUM16" si="4331">LUM11*0.0425</f>
        <v>0</v>
      </c>
      <c r="LUO16" s="238">
        <f t="shared" ref="LUO16" si="4332">LUO11*0.0425</f>
        <v>0</v>
      </c>
      <c r="LUQ16" s="238">
        <f t="shared" ref="LUQ16" si="4333">LUQ11*0.0425</f>
        <v>0</v>
      </c>
      <c r="LUS16" s="238">
        <f t="shared" ref="LUS16" si="4334">LUS11*0.0425</f>
        <v>0</v>
      </c>
      <c r="LUU16" s="238">
        <f t="shared" ref="LUU16" si="4335">LUU11*0.0425</f>
        <v>0</v>
      </c>
      <c r="LUW16" s="238">
        <f t="shared" ref="LUW16" si="4336">LUW11*0.0425</f>
        <v>0</v>
      </c>
      <c r="LUY16" s="238">
        <f t="shared" ref="LUY16" si="4337">LUY11*0.0425</f>
        <v>0</v>
      </c>
      <c r="LVA16" s="238">
        <f t="shared" ref="LVA16" si="4338">LVA11*0.0425</f>
        <v>0</v>
      </c>
      <c r="LVC16" s="238">
        <f t="shared" ref="LVC16" si="4339">LVC11*0.0425</f>
        <v>0</v>
      </c>
      <c r="LVE16" s="238">
        <f t="shared" ref="LVE16" si="4340">LVE11*0.0425</f>
        <v>0</v>
      </c>
      <c r="LVG16" s="238">
        <f t="shared" ref="LVG16" si="4341">LVG11*0.0425</f>
        <v>0</v>
      </c>
      <c r="LVI16" s="238">
        <f t="shared" ref="LVI16" si="4342">LVI11*0.0425</f>
        <v>0</v>
      </c>
      <c r="LVK16" s="238">
        <f t="shared" ref="LVK16" si="4343">LVK11*0.0425</f>
        <v>0</v>
      </c>
      <c r="LVM16" s="238">
        <f t="shared" ref="LVM16" si="4344">LVM11*0.0425</f>
        <v>0</v>
      </c>
      <c r="LVO16" s="238">
        <f t="shared" ref="LVO16" si="4345">LVO11*0.0425</f>
        <v>0</v>
      </c>
      <c r="LVQ16" s="238">
        <f t="shared" ref="LVQ16" si="4346">LVQ11*0.0425</f>
        <v>0</v>
      </c>
      <c r="LVS16" s="238">
        <f t="shared" ref="LVS16" si="4347">LVS11*0.0425</f>
        <v>0</v>
      </c>
      <c r="LVU16" s="238">
        <f t="shared" ref="LVU16" si="4348">LVU11*0.0425</f>
        <v>0</v>
      </c>
      <c r="LVW16" s="238">
        <f t="shared" ref="LVW16" si="4349">LVW11*0.0425</f>
        <v>0</v>
      </c>
      <c r="LVY16" s="238">
        <f t="shared" ref="LVY16" si="4350">LVY11*0.0425</f>
        <v>0</v>
      </c>
      <c r="LWA16" s="238">
        <f t="shared" ref="LWA16" si="4351">LWA11*0.0425</f>
        <v>0</v>
      </c>
      <c r="LWC16" s="238">
        <f t="shared" ref="LWC16" si="4352">LWC11*0.0425</f>
        <v>0</v>
      </c>
      <c r="LWE16" s="238">
        <f t="shared" ref="LWE16" si="4353">LWE11*0.0425</f>
        <v>0</v>
      </c>
      <c r="LWG16" s="238">
        <f t="shared" ref="LWG16" si="4354">LWG11*0.0425</f>
        <v>0</v>
      </c>
      <c r="LWI16" s="238">
        <f t="shared" ref="LWI16" si="4355">LWI11*0.0425</f>
        <v>0</v>
      </c>
      <c r="LWK16" s="238">
        <f t="shared" ref="LWK16" si="4356">LWK11*0.0425</f>
        <v>0</v>
      </c>
      <c r="LWM16" s="238">
        <f t="shared" ref="LWM16" si="4357">LWM11*0.0425</f>
        <v>0</v>
      </c>
      <c r="LWO16" s="238">
        <f t="shared" ref="LWO16" si="4358">LWO11*0.0425</f>
        <v>0</v>
      </c>
      <c r="LWQ16" s="238">
        <f t="shared" ref="LWQ16" si="4359">LWQ11*0.0425</f>
        <v>0</v>
      </c>
      <c r="LWS16" s="238">
        <f t="shared" ref="LWS16" si="4360">LWS11*0.0425</f>
        <v>0</v>
      </c>
      <c r="LWU16" s="238">
        <f t="shared" ref="LWU16" si="4361">LWU11*0.0425</f>
        <v>0</v>
      </c>
      <c r="LWW16" s="238">
        <f t="shared" ref="LWW16" si="4362">LWW11*0.0425</f>
        <v>0</v>
      </c>
      <c r="LWY16" s="238">
        <f t="shared" ref="LWY16" si="4363">LWY11*0.0425</f>
        <v>0</v>
      </c>
      <c r="LXA16" s="238">
        <f t="shared" ref="LXA16" si="4364">LXA11*0.0425</f>
        <v>0</v>
      </c>
      <c r="LXC16" s="238">
        <f t="shared" ref="LXC16" si="4365">LXC11*0.0425</f>
        <v>0</v>
      </c>
      <c r="LXE16" s="238">
        <f t="shared" ref="LXE16" si="4366">LXE11*0.0425</f>
        <v>0</v>
      </c>
      <c r="LXG16" s="238">
        <f t="shared" ref="LXG16" si="4367">LXG11*0.0425</f>
        <v>0</v>
      </c>
      <c r="LXI16" s="238">
        <f t="shared" ref="LXI16" si="4368">LXI11*0.0425</f>
        <v>0</v>
      </c>
      <c r="LXK16" s="238">
        <f t="shared" ref="LXK16" si="4369">LXK11*0.0425</f>
        <v>0</v>
      </c>
      <c r="LXM16" s="238">
        <f t="shared" ref="LXM16" si="4370">LXM11*0.0425</f>
        <v>0</v>
      </c>
      <c r="LXO16" s="238">
        <f t="shared" ref="LXO16" si="4371">LXO11*0.0425</f>
        <v>0</v>
      </c>
      <c r="LXQ16" s="238">
        <f t="shared" ref="LXQ16" si="4372">LXQ11*0.0425</f>
        <v>0</v>
      </c>
      <c r="LXS16" s="238">
        <f t="shared" ref="LXS16" si="4373">LXS11*0.0425</f>
        <v>0</v>
      </c>
      <c r="LXU16" s="238">
        <f t="shared" ref="LXU16" si="4374">LXU11*0.0425</f>
        <v>0</v>
      </c>
      <c r="LXW16" s="238">
        <f t="shared" ref="LXW16" si="4375">LXW11*0.0425</f>
        <v>0</v>
      </c>
      <c r="LXY16" s="238">
        <f t="shared" ref="LXY16" si="4376">LXY11*0.0425</f>
        <v>0</v>
      </c>
      <c r="LYA16" s="238">
        <f t="shared" ref="LYA16" si="4377">LYA11*0.0425</f>
        <v>0</v>
      </c>
      <c r="LYC16" s="238">
        <f t="shared" ref="LYC16" si="4378">LYC11*0.0425</f>
        <v>0</v>
      </c>
      <c r="LYE16" s="238">
        <f t="shared" ref="LYE16" si="4379">LYE11*0.0425</f>
        <v>0</v>
      </c>
      <c r="LYG16" s="238">
        <f t="shared" ref="LYG16" si="4380">LYG11*0.0425</f>
        <v>0</v>
      </c>
      <c r="LYI16" s="238">
        <f t="shared" ref="LYI16" si="4381">LYI11*0.0425</f>
        <v>0</v>
      </c>
      <c r="LYK16" s="238">
        <f t="shared" ref="LYK16" si="4382">LYK11*0.0425</f>
        <v>0</v>
      </c>
      <c r="LYM16" s="238">
        <f t="shared" ref="LYM16" si="4383">LYM11*0.0425</f>
        <v>0</v>
      </c>
      <c r="LYO16" s="238">
        <f t="shared" ref="LYO16" si="4384">LYO11*0.0425</f>
        <v>0</v>
      </c>
      <c r="LYQ16" s="238">
        <f t="shared" ref="LYQ16" si="4385">LYQ11*0.0425</f>
        <v>0</v>
      </c>
      <c r="LYS16" s="238">
        <f t="shared" ref="LYS16" si="4386">LYS11*0.0425</f>
        <v>0</v>
      </c>
      <c r="LYU16" s="238">
        <f t="shared" ref="LYU16" si="4387">LYU11*0.0425</f>
        <v>0</v>
      </c>
      <c r="LYW16" s="238">
        <f t="shared" ref="LYW16" si="4388">LYW11*0.0425</f>
        <v>0</v>
      </c>
      <c r="LYY16" s="238">
        <f t="shared" ref="LYY16" si="4389">LYY11*0.0425</f>
        <v>0</v>
      </c>
      <c r="LZA16" s="238">
        <f t="shared" ref="LZA16" si="4390">LZA11*0.0425</f>
        <v>0</v>
      </c>
      <c r="LZC16" s="238">
        <f t="shared" ref="LZC16" si="4391">LZC11*0.0425</f>
        <v>0</v>
      </c>
      <c r="LZE16" s="238">
        <f t="shared" ref="LZE16" si="4392">LZE11*0.0425</f>
        <v>0</v>
      </c>
      <c r="LZG16" s="238">
        <f t="shared" ref="LZG16" si="4393">LZG11*0.0425</f>
        <v>0</v>
      </c>
      <c r="LZI16" s="238">
        <f t="shared" ref="LZI16" si="4394">LZI11*0.0425</f>
        <v>0</v>
      </c>
      <c r="LZK16" s="238">
        <f t="shared" ref="LZK16" si="4395">LZK11*0.0425</f>
        <v>0</v>
      </c>
      <c r="LZM16" s="238">
        <f t="shared" ref="LZM16" si="4396">LZM11*0.0425</f>
        <v>0</v>
      </c>
      <c r="LZO16" s="238">
        <f t="shared" ref="LZO16" si="4397">LZO11*0.0425</f>
        <v>0</v>
      </c>
      <c r="LZQ16" s="238">
        <f t="shared" ref="LZQ16" si="4398">LZQ11*0.0425</f>
        <v>0</v>
      </c>
      <c r="LZS16" s="238">
        <f t="shared" ref="LZS16" si="4399">LZS11*0.0425</f>
        <v>0</v>
      </c>
      <c r="LZU16" s="238">
        <f t="shared" ref="LZU16" si="4400">LZU11*0.0425</f>
        <v>0</v>
      </c>
      <c r="LZW16" s="238">
        <f t="shared" ref="LZW16" si="4401">LZW11*0.0425</f>
        <v>0</v>
      </c>
      <c r="LZY16" s="238">
        <f t="shared" ref="LZY16" si="4402">LZY11*0.0425</f>
        <v>0</v>
      </c>
      <c r="MAA16" s="238">
        <f t="shared" ref="MAA16" si="4403">MAA11*0.0425</f>
        <v>0</v>
      </c>
      <c r="MAC16" s="238">
        <f t="shared" ref="MAC16" si="4404">MAC11*0.0425</f>
        <v>0</v>
      </c>
      <c r="MAE16" s="238">
        <f t="shared" ref="MAE16" si="4405">MAE11*0.0425</f>
        <v>0</v>
      </c>
      <c r="MAG16" s="238">
        <f t="shared" ref="MAG16" si="4406">MAG11*0.0425</f>
        <v>0</v>
      </c>
      <c r="MAI16" s="238">
        <f t="shared" ref="MAI16" si="4407">MAI11*0.0425</f>
        <v>0</v>
      </c>
      <c r="MAK16" s="238">
        <f t="shared" ref="MAK16" si="4408">MAK11*0.0425</f>
        <v>0</v>
      </c>
      <c r="MAM16" s="238">
        <f t="shared" ref="MAM16" si="4409">MAM11*0.0425</f>
        <v>0</v>
      </c>
      <c r="MAO16" s="238">
        <f t="shared" ref="MAO16" si="4410">MAO11*0.0425</f>
        <v>0</v>
      </c>
      <c r="MAQ16" s="238">
        <f t="shared" ref="MAQ16" si="4411">MAQ11*0.0425</f>
        <v>0</v>
      </c>
      <c r="MAS16" s="238">
        <f t="shared" ref="MAS16" si="4412">MAS11*0.0425</f>
        <v>0</v>
      </c>
      <c r="MAU16" s="238">
        <f t="shared" ref="MAU16" si="4413">MAU11*0.0425</f>
        <v>0</v>
      </c>
      <c r="MAW16" s="238">
        <f t="shared" ref="MAW16" si="4414">MAW11*0.0425</f>
        <v>0</v>
      </c>
      <c r="MAY16" s="238">
        <f t="shared" ref="MAY16" si="4415">MAY11*0.0425</f>
        <v>0</v>
      </c>
      <c r="MBA16" s="238">
        <f t="shared" ref="MBA16" si="4416">MBA11*0.0425</f>
        <v>0</v>
      </c>
      <c r="MBC16" s="238">
        <f t="shared" ref="MBC16" si="4417">MBC11*0.0425</f>
        <v>0</v>
      </c>
      <c r="MBE16" s="238">
        <f t="shared" ref="MBE16" si="4418">MBE11*0.0425</f>
        <v>0</v>
      </c>
      <c r="MBG16" s="238">
        <f t="shared" ref="MBG16" si="4419">MBG11*0.0425</f>
        <v>0</v>
      </c>
      <c r="MBI16" s="238">
        <f t="shared" ref="MBI16" si="4420">MBI11*0.0425</f>
        <v>0</v>
      </c>
      <c r="MBK16" s="238">
        <f t="shared" ref="MBK16" si="4421">MBK11*0.0425</f>
        <v>0</v>
      </c>
      <c r="MBM16" s="238">
        <f t="shared" ref="MBM16" si="4422">MBM11*0.0425</f>
        <v>0</v>
      </c>
      <c r="MBO16" s="238">
        <f t="shared" ref="MBO16" si="4423">MBO11*0.0425</f>
        <v>0</v>
      </c>
      <c r="MBQ16" s="238">
        <f t="shared" ref="MBQ16" si="4424">MBQ11*0.0425</f>
        <v>0</v>
      </c>
      <c r="MBS16" s="238">
        <f t="shared" ref="MBS16" si="4425">MBS11*0.0425</f>
        <v>0</v>
      </c>
      <c r="MBU16" s="238">
        <f t="shared" ref="MBU16" si="4426">MBU11*0.0425</f>
        <v>0</v>
      </c>
      <c r="MBW16" s="238">
        <f t="shared" ref="MBW16" si="4427">MBW11*0.0425</f>
        <v>0</v>
      </c>
      <c r="MBY16" s="238">
        <f t="shared" ref="MBY16" si="4428">MBY11*0.0425</f>
        <v>0</v>
      </c>
      <c r="MCA16" s="238">
        <f t="shared" ref="MCA16" si="4429">MCA11*0.0425</f>
        <v>0</v>
      </c>
      <c r="MCC16" s="238">
        <f t="shared" ref="MCC16" si="4430">MCC11*0.0425</f>
        <v>0</v>
      </c>
      <c r="MCE16" s="238">
        <f t="shared" ref="MCE16" si="4431">MCE11*0.0425</f>
        <v>0</v>
      </c>
      <c r="MCG16" s="238">
        <f t="shared" ref="MCG16" si="4432">MCG11*0.0425</f>
        <v>0</v>
      </c>
      <c r="MCI16" s="238">
        <f t="shared" ref="MCI16" si="4433">MCI11*0.0425</f>
        <v>0</v>
      </c>
      <c r="MCK16" s="238">
        <f t="shared" ref="MCK16" si="4434">MCK11*0.0425</f>
        <v>0</v>
      </c>
      <c r="MCM16" s="238">
        <f t="shared" ref="MCM16" si="4435">MCM11*0.0425</f>
        <v>0</v>
      </c>
      <c r="MCO16" s="238">
        <f t="shared" ref="MCO16" si="4436">MCO11*0.0425</f>
        <v>0</v>
      </c>
      <c r="MCQ16" s="238">
        <f t="shared" ref="MCQ16" si="4437">MCQ11*0.0425</f>
        <v>0</v>
      </c>
      <c r="MCS16" s="238">
        <f t="shared" ref="MCS16" si="4438">MCS11*0.0425</f>
        <v>0</v>
      </c>
      <c r="MCU16" s="238">
        <f t="shared" ref="MCU16" si="4439">MCU11*0.0425</f>
        <v>0</v>
      </c>
      <c r="MCW16" s="238">
        <f t="shared" ref="MCW16" si="4440">MCW11*0.0425</f>
        <v>0</v>
      </c>
      <c r="MCY16" s="238">
        <f t="shared" ref="MCY16" si="4441">MCY11*0.0425</f>
        <v>0</v>
      </c>
      <c r="MDA16" s="238">
        <f t="shared" ref="MDA16" si="4442">MDA11*0.0425</f>
        <v>0</v>
      </c>
      <c r="MDC16" s="238">
        <f t="shared" ref="MDC16" si="4443">MDC11*0.0425</f>
        <v>0</v>
      </c>
      <c r="MDE16" s="238">
        <f t="shared" ref="MDE16" si="4444">MDE11*0.0425</f>
        <v>0</v>
      </c>
      <c r="MDG16" s="238">
        <f t="shared" ref="MDG16" si="4445">MDG11*0.0425</f>
        <v>0</v>
      </c>
      <c r="MDI16" s="238">
        <f t="shared" ref="MDI16" si="4446">MDI11*0.0425</f>
        <v>0</v>
      </c>
      <c r="MDK16" s="238">
        <f t="shared" ref="MDK16" si="4447">MDK11*0.0425</f>
        <v>0</v>
      </c>
      <c r="MDM16" s="238">
        <f t="shared" ref="MDM16" si="4448">MDM11*0.0425</f>
        <v>0</v>
      </c>
      <c r="MDO16" s="238">
        <f t="shared" ref="MDO16" si="4449">MDO11*0.0425</f>
        <v>0</v>
      </c>
      <c r="MDQ16" s="238">
        <f t="shared" ref="MDQ16" si="4450">MDQ11*0.0425</f>
        <v>0</v>
      </c>
      <c r="MDS16" s="238">
        <f t="shared" ref="MDS16" si="4451">MDS11*0.0425</f>
        <v>0</v>
      </c>
      <c r="MDU16" s="238">
        <f t="shared" ref="MDU16" si="4452">MDU11*0.0425</f>
        <v>0</v>
      </c>
      <c r="MDW16" s="238">
        <f t="shared" ref="MDW16" si="4453">MDW11*0.0425</f>
        <v>0</v>
      </c>
      <c r="MDY16" s="238">
        <f t="shared" ref="MDY16" si="4454">MDY11*0.0425</f>
        <v>0</v>
      </c>
      <c r="MEA16" s="238">
        <f t="shared" ref="MEA16" si="4455">MEA11*0.0425</f>
        <v>0</v>
      </c>
      <c r="MEC16" s="238">
        <f t="shared" ref="MEC16" si="4456">MEC11*0.0425</f>
        <v>0</v>
      </c>
      <c r="MEE16" s="238">
        <f t="shared" ref="MEE16" si="4457">MEE11*0.0425</f>
        <v>0</v>
      </c>
      <c r="MEG16" s="238">
        <f t="shared" ref="MEG16" si="4458">MEG11*0.0425</f>
        <v>0</v>
      </c>
      <c r="MEI16" s="238">
        <f t="shared" ref="MEI16" si="4459">MEI11*0.0425</f>
        <v>0</v>
      </c>
      <c r="MEK16" s="238">
        <f t="shared" ref="MEK16" si="4460">MEK11*0.0425</f>
        <v>0</v>
      </c>
      <c r="MEM16" s="238">
        <f t="shared" ref="MEM16" si="4461">MEM11*0.0425</f>
        <v>0</v>
      </c>
      <c r="MEO16" s="238">
        <f t="shared" ref="MEO16" si="4462">MEO11*0.0425</f>
        <v>0</v>
      </c>
      <c r="MEQ16" s="238">
        <f t="shared" ref="MEQ16" si="4463">MEQ11*0.0425</f>
        <v>0</v>
      </c>
      <c r="MES16" s="238">
        <f t="shared" ref="MES16" si="4464">MES11*0.0425</f>
        <v>0</v>
      </c>
      <c r="MEU16" s="238">
        <f t="shared" ref="MEU16" si="4465">MEU11*0.0425</f>
        <v>0</v>
      </c>
      <c r="MEW16" s="238">
        <f t="shared" ref="MEW16" si="4466">MEW11*0.0425</f>
        <v>0</v>
      </c>
      <c r="MEY16" s="238">
        <f t="shared" ref="MEY16" si="4467">MEY11*0.0425</f>
        <v>0</v>
      </c>
      <c r="MFA16" s="238">
        <f t="shared" ref="MFA16" si="4468">MFA11*0.0425</f>
        <v>0</v>
      </c>
      <c r="MFC16" s="238">
        <f t="shared" ref="MFC16" si="4469">MFC11*0.0425</f>
        <v>0</v>
      </c>
      <c r="MFE16" s="238">
        <f t="shared" ref="MFE16" si="4470">MFE11*0.0425</f>
        <v>0</v>
      </c>
      <c r="MFG16" s="238">
        <f t="shared" ref="MFG16" si="4471">MFG11*0.0425</f>
        <v>0</v>
      </c>
      <c r="MFI16" s="238">
        <f t="shared" ref="MFI16" si="4472">MFI11*0.0425</f>
        <v>0</v>
      </c>
      <c r="MFK16" s="238">
        <f t="shared" ref="MFK16" si="4473">MFK11*0.0425</f>
        <v>0</v>
      </c>
      <c r="MFM16" s="238">
        <f t="shared" ref="MFM16" si="4474">MFM11*0.0425</f>
        <v>0</v>
      </c>
      <c r="MFO16" s="238">
        <f t="shared" ref="MFO16" si="4475">MFO11*0.0425</f>
        <v>0</v>
      </c>
      <c r="MFQ16" s="238">
        <f t="shared" ref="MFQ16" si="4476">MFQ11*0.0425</f>
        <v>0</v>
      </c>
      <c r="MFS16" s="238">
        <f t="shared" ref="MFS16" si="4477">MFS11*0.0425</f>
        <v>0</v>
      </c>
      <c r="MFU16" s="238">
        <f t="shared" ref="MFU16" si="4478">MFU11*0.0425</f>
        <v>0</v>
      </c>
      <c r="MFW16" s="238">
        <f t="shared" ref="MFW16" si="4479">MFW11*0.0425</f>
        <v>0</v>
      </c>
      <c r="MFY16" s="238">
        <f t="shared" ref="MFY16" si="4480">MFY11*0.0425</f>
        <v>0</v>
      </c>
      <c r="MGA16" s="238">
        <f t="shared" ref="MGA16" si="4481">MGA11*0.0425</f>
        <v>0</v>
      </c>
      <c r="MGC16" s="238">
        <f t="shared" ref="MGC16" si="4482">MGC11*0.0425</f>
        <v>0</v>
      </c>
      <c r="MGE16" s="238">
        <f t="shared" ref="MGE16" si="4483">MGE11*0.0425</f>
        <v>0</v>
      </c>
      <c r="MGG16" s="238">
        <f t="shared" ref="MGG16" si="4484">MGG11*0.0425</f>
        <v>0</v>
      </c>
      <c r="MGI16" s="238">
        <f t="shared" ref="MGI16" si="4485">MGI11*0.0425</f>
        <v>0</v>
      </c>
      <c r="MGK16" s="238">
        <f t="shared" ref="MGK16" si="4486">MGK11*0.0425</f>
        <v>0</v>
      </c>
      <c r="MGM16" s="238">
        <f t="shared" ref="MGM16" si="4487">MGM11*0.0425</f>
        <v>0</v>
      </c>
      <c r="MGO16" s="238">
        <f t="shared" ref="MGO16" si="4488">MGO11*0.0425</f>
        <v>0</v>
      </c>
      <c r="MGQ16" s="238">
        <f t="shared" ref="MGQ16" si="4489">MGQ11*0.0425</f>
        <v>0</v>
      </c>
      <c r="MGS16" s="238">
        <f t="shared" ref="MGS16" si="4490">MGS11*0.0425</f>
        <v>0</v>
      </c>
      <c r="MGU16" s="238">
        <f t="shared" ref="MGU16" si="4491">MGU11*0.0425</f>
        <v>0</v>
      </c>
      <c r="MGW16" s="238">
        <f t="shared" ref="MGW16" si="4492">MGW11*0.0425</f>
        <v>0</v>
      </c>
      <c r="MGY16" s="238">
        <f t="shared" ref="MGY16" si="4493">MGY11*0.0425</f>
        <v>0</v>
      </c>
      <c r="MHA16" s="238">
        <f t="shared" ref="MHA16" si="4494">MHA11*0.0425</f>
        <v>0</v>
      </c>
      <c r="MHC16" s="238">
        <f t="shared" ref="MHC16" si="4495">MHC11*0.0425</f>
        <v>0</v>
      </c>
      <c r="MHE16" s="238">
        <f t="shared" ref="MHE16" si="4496">MHE11*0.0425</f>
        <v>0</v>
      </c>
      <c r="MHG16" s="238">
        <f t="shared" ref="MHG16" si="4497">MHG11*0.0425</f>
        <v>0</v>
      </c>
      <c r="MHI16" s="238">
        <f t="shared" ref="MHI16" si="4498">MHI11*0.0425</f>
        <v>0</v>
      </c>
      <c r="MHK16" s="238">
        <f t="shared" ref="MHK16" si="4499">MHK11*0.0425</f>
        <v>0</v>
      </c>
      <c r="MHM16" s="238">
        <f t="shared" ref="MHM16" si="4500">MHM11*0.0425</f>
        <v>0</v>
      </c>
      <c r="MHO16" s="238">
        <f t="shared" ref="MHO16" si="4501">MHO11*0.0425</f>
        <v>0</v>
      </c>
      <c r="MHQ16" s="238">
        <f t="shared" ref="MHQ16" si="4502">MHQ11*0.0425</f>
        <v>0</v>
      </c>
      <c r="MHS16" s="238">
        <f t="shared" ref="MHS16" si="4503">MHS11*0.0425</f>
        <v>0</v>
      </c>
      <c r="MHU16" s="238">
        <f t="shared" ref="MHU16" si="4504">MHU11*0.0425</f>
        <v>0</v>
      </c>
      <c r="MHW16" s="238">
        <f t="shared" ref="MHW16" si="4505">MHW11*0.0425</f>
        <v>0</v>
      </c>
      <c r="MHY16" s="238">
        <f t="shared" ref="MHY16" si="4506">MHY11*0.0425</f>
        <v>0</v>
      </c>
      <c r="MIA16" s="238">
        <f t="shared" ref="MIA16" si="4507">MIA11*0.0425</f>
        <v>0</v>
      </c>
      <c r="MIC16" s="238">
        <f t="shared" ref="MIC16" si="4508">MIC11*0.0425</f>
        <v>0</v>
      </c>
      <c r="MIE16" s="238">
        <f t="shared" ref="MIE16" si="4509">MIE11*0.0425</f>
        <v>0</v>
      </c>
      <c r="MIG16" s="238">
        <f t="shared" ref="MIG16" si="4510">MIG11*0.0425</f>
        <v>0</v>
      </c>
      <c r="MII16" s="238">
        <f t="shared" ref="MII16" si="4511">MII11*0.0425</f>
        <v>0</v>
      </c>
      <c r="MIK16" s="238">
        <f t="shared" ref="MIK16" si="4512">MIK11*0.0425</f>
        <v>0</v>
      </c>
      <c r="MIM16" s="238">
        <f t="shared" ref="MIM16" si="4513">MIM11*0.0425</f>
        <v>0</v>
      </c>
      <c r="MIO16" s="238">
        <f t="shared" ref="MIO16" si="4514">MIO11*0.0425</f>
        <v>0</v>
      </c>
      <c r="MIQ16" s="238">
        <f t="shared" ref="MIQ16" si="4515">MIQ11*0.0425</f>
        <v>0</v>
      </c>
      <c r="MIS16" s="238">
        <f t="shared" ref="MIS16" si="4516">MIS11*0.0425</f>
        <v>0</v>
      </c>
      <c r="MIU16" s="238">
        <f t="shared" ref="MIU16" si="4517">MIU11*0.0425</f>
        <v>0</v>
      </c>
      <c r="MIW16" s="238">
        <f t="shared" ref="MIW16" si="4518">MIW11*0.0425</f>
        <v>0</v>
      </c>
      <c r="MIY16" s="238">
        <f t="shared" ref="MIY16" si="4519">MIY11*0.0425</f>
        <v>0</v>
      </c>
      <c r="MJA16" s="238">
        <f t="shared" ref="MJA16" si="4520">MJA11*0.0425</f>
        <v>0</v>
      </c>
      <c r="MJC16" s="238">
        <f t="shared" ref="MJC16" si="4521">MJC11*0.0425</f>
        <v>0</v>
      </c>
      <c r="MJE16" s="238">
        <f t="shared" ref="MJE16" si="4522">MJE11*0.0425</f>
        <v>0</v>
      </c>
      <c r="MJG16" s="238">
        <f t="shared" ref="MJG16" si="4523">MJG11*0.0425</f>
        <v>0</v>
      </c>
      <c r="MJI16" s="238">
        <f t="shared" ref="MJI16" si="4524">MJI11*0.0425</f>
        <v>0</v>
      </c>
      <c r="MJK16" s="238">
        <f t="shared" ref="MJK16" si="4525">MJK11*0.0425</f>
        <v>0</v>
      </c>
      <c r="MJM16" s="238">
        <f t="shared" ref="MJM16" si="4526">MJM11*0.0425</f>
        <v>0</v>
      </c>
      <c r="MJO16" s="238">
        <f t="shared" ref="MJO16" si="4527">MJO11*0.0425</f>
        <v>0</v>
      </c>
      <c r="MJQ16" s="238">
        <f t="shared" ref="MJQ16" si="4528">MJQ11*0.0425</f>
        <v>0</v>
      </c>
      <c r="MJS16" s="238">
        <f t="shared" ref="MJS16" si="4529">MJS11*0.0425</f>
        <v>0</v>
      </c>
      <c r="MJU16" s="238">
        <f t="shared" ref="MJU16" si="4530">MJU11*0.0425</f>
        <v>0</v>
      </c>
      <c r="MJW16" s="238">
        <f t="shared" ref="MJW16" si="4531">MJW11*0.0425</f>
        <v>0</v>
      </c>
      <c r="MJY16" s="238">
        <f t="shared" ref="MJY16" si="4532">MJY11*0.0425</f>
        <v>0</v>
      </c>
      <c r="MKA16" s="238">
        <f t="shared" ref="MKA16" si="4533">MKA11*0.0425</f>
        <v>0</v>
      </c>
      <c r="MKC16" s="238">
        <f t="shared" ref="MKC16" si="4534">MKC11*0.0425</f>
        <v>0</v>
      </c>
      <c r="MKE16" s="238">
        <f t="shared" ref="MKE16" si="4535">MKE11*0.0425</f>
        <v>0</v>
      </c>
      <c r="MKG16" s="238">
        <f t="shared" ref="MKG16" si="4536">MKG11*0.0425</f>
        <v>0</v>
      </c>
      <c r="MKI16" s="238">
        <f t="shared" ref="MKI16" si="4537">MKI11*0.0425</f>
        <v>0</v>
      </c>
      <c r="MKK16" s="238">
        <f t="shared" ref="MKK16" si="4538">MKK11*0.0425</f>
        <v>0</v>
      </c>
      <c r="MKM16" s="238">
        <f t="shared" ref="MKM16" si="4539">MKM11*0.0425</f>
        <v>0</v>
      </c>
      <c r="MKO16" s="238">
        <f t="shared" ref="MKO16" si="4540">MKO11*0.0425</f>
        <v>0</v>
      </c>
      <c r="MKQ16" s="238">
        <f t="shared" ref="MKQ16" si="4541">MKQ11*0.0425</f>
        <v>0</v>
      </c>
      <c r="MKS16" s="238">
        <f t="shared" ref="MKS16" si="4542">MKS11*0.0425</f>
        <v>0</v>
      </c>
      <c r="MKU16" s="238">
        <f t="shared" ref="MKU16" si="4543">MKU11*0.0425</f>
        <v>0</v>
      </c>
      <c r="MKW16" s="238">
        <f t="shared" ref="MKW16" si="4544">MKW11*0.0425</f>
        <v>0</v>
      </c>
      <c r="MKY16" s="238">
        <f t="shared" ref="MKY16" si="4545">MKY11*0.0425</f>
        <v>0</v>
      </c>
      <c r="MLA16" s="238">
        <f t="shared" ref="MLA16" si="4546">MLA11*0.0425</f>
        <v>0</v>
      </c>
      <c r="MLC16" s="238">
        <f t="shared" ref="MLC16" si="4547">MLC11*0.0425</f>
        <v>0</v>
      </c>
      <c r="MLE16" s="238">
        <f t="shared" ref="MLE16" si="4548">MLE11*0.0425</f>
        <v>0</v>
      </c>
      <c r="MLG16" s="238">
        <f t="shared" ref="MLG16" si="4549">MLG11*0.0425</f>
        <v>0</v>
      </c>
      <c r="MLI16" s="238">
        <f t="shared" ref="MLI16" si="4550">MLI11*0.0425</f>
        <v>0</v>
      </c>
      <c r="MLK16" s="238">
        <f t="shared" ref="MLK16" si="4551">MLK11*0.0425</f>
        <v>0</v>
      </c>
      <c r="MLM16" s="238">
        <f t="shared" ref="MLM16" si="4552">MLM11*0.0425</f>
        <v>0</v>
      </c>
      <c r="MLO16" s="238">
        <f t="shared" ref="MLO16" si="4553">MLO11*0.0425</f>
        <v>0</v>
      </c>
      <c r="MLQ16" s="238">
        <f t="shared" ref="MLQ16" si="4554">MLQ11*0.0425</f>
        <v>0</v>
      </c>
      <c r="MLS16" s="238">
        <f t="shared" ref="MLS16" si="4555">MLS11*0.0425</f>
        <v>0</v>
      </c>
      <c r="MLU16" s="238">
        <f t="shared" ref="MLU16" si="4556">MLU11*0.0425</f>
        <v>0</v>
      </c>
      <c r="MLW16" s="238">
        <f t="shared" ref="MLW16" si="4557">MLW11*0.0425</f>
        <v>0</v>
      </c>
      <c r="MLY16" s="238">
        <f t="shared" ref="MLY16" si="4558">MLY11*0.0425</f>
        <v>0</v>
      </c>
      <c r="MMA16" s="238">
        <f t="shared" ref="MMA16" si="4559">MMA11*0.0425</f>
        <v>0</v>
      </c>
      <c r="MMC16" s="238">
        <f t="shared" ref="MMC16" si="4560">MMC11*0.0425</f>
        <v>0</v>
      </c>
      <c r="MME16" s="238">
        <f t="shared" ref="MME16" si="4561">MME11*0.0425</f>
        <v>0</v>
      </c>
      <c r="MMG16" s="238">
        <f t="shared" ref="MMG16" si="4562">MMG11*0.0425</f>
        <v>0</v>
      </c>
      <c r="MMI16" s="238">
        <f t="shared" ref="MMI16" si="4563">MMI11*0.0425</f>
        <v>0</v>
      </c>
      <c r="MMK16" s="238">
        <f t="shared" ref="MMK16" si="4564">MMK11*0.0425</f>
        <v>0</v>
      </c>
      <c r="MMM16" s="238">
        <f t="shared" ref="MMM16" si="4565">MMM11*0.0425</f>
        <v>0</v>
      </c>
      <c r="MMO16" s="238">
        <f t="shared" ref="MMO16" si="4566">MMO11*0.0425</f>
        <v>0</v>
      </c>
      <c r="MMQ16" s="238">
        <f t="shared" ref="MMQ16" si="4567">MMQ11*0.0425</f>
        <v>0</v>
      </c>
      <c r="MMS16" s="238">
        <f t="shared" ref="MMS16" si="4568">MMS11*0.0425</f>
        <v>0</v>
      </c>
      <c r="MMU16" s="238">
        <f t="shared" ref="MMU16" si="4569">MMU11*0.0425</f>
        <v>0</v>
      </c>
      <c r="MMW16" s="238">
        <f t="shared" ref="MMW16" si="4570">MMW11*0.0425</f>
        <v>0</v>
      </c>
      <c r="MMY16" s="238">
        <f t="shared" ref="MMY16" si="4571">MMY11*0.0425</f>
        <v>0</v>
      </c>
      <c r="MNA16" s="238">
        <f t="shared" ref="MNA16" si="4572">MNA11*0.0425</f>
        <v>0</v>
      </c>
      <c r="MNC16" s="238">
        <f t="shared" ref="MNC16" si="4573">MNC11*0.0425</f>
        <v>0</v>
      </c>
      <c r="MNE16" s="238">
        <f t="shared" ref="MNE16" si="4574">MNE11*0.0425</f>
        <v>0</v>
      </c>
      <c r="MNG16" s="238">
        <f t="shared" ref="MNG16" si="4575">MNG11*0.0425</f>
        <v>0</v>
      </c>
      <c r="MNI16" s="238">
        <f t="shared" ref="MNI16" si="4576">MNI11*0.0425</f>
        <v>0</v>
      </c>
      <c r="MNK16" s="238">
        <f t="shared" ref="MNK16" si="4577">MNK11*0.0425</f>
        <v>0</v>
      </c>
      <c r="MNM16" s="238">
        <f t="shared" ref="MNM16" si="4578">MNM11*0.0425</f>
        <v>0</v>
      </c>
      <c r="MNO16" s="238">
        <f t="shared" ref="MNO16" si="4579">MNO11*0.0425</f>
        <v>0</v>
      </c>
      <c r="MNQ16" s="238">
        <f t="shared" ref="MNQ16" si="4580">MNQ11*0.0425</f>
        <v>0</v>
      </c>
      <c r="MNS16" s="238">
        <f t="shared" ref="MNS16" si="4581">MNS11*0.0425</f>
        <v>0</v>
      </c>
      <c r="MNU16" s="238">
        <f t="shared" ref="MNU16" si="4582">MNU11*0.0425</f>
        <v>0</v>
      </c>
      <c r="MNW16" s="238">
        <f t="shared" ref="MNW16" si="4583">MNW11*0.0425</f>
        <v>0</v>
      </c>
      <c r="MNY16" s="238">
        <f t="shared" ref="MNY16" si="4584">MNY11*0.0425</f>
        <v>0</v>
      </c>
      <c r="MOA16" s="238">
        <f t="shared" ref="MOA16" si="4585">MOA11*0.0425</f>
        <v>0</v>
      </c>
      <c r="MOC16" s="238">
        <f t="shared" ref="MOC16" si="4586">MOC11*0.0425</f>
        <v>0</v>
      </c>
      <c r="MOE16" s="238">
        <f t="shared" ref="MOE16" si="4587">MOE11*0.0425</f>
        <v>0</v>
      </c>
      <c r="MOG16" s="238">
        <f t="shared" ref="MOG16" si="4588">MOG11*0.0425</f>
        <v>0</v>
      </c>
      <c r="MOI16" s="238">
        <f t="shared" ref="MOI16" si="4589">MOI11*0.0425</f>
        <v>0</v>
      </c>
      <c r="MOK16" s="238">
        <f t="shared" ref="MOK16" si="4590">MOK11*0.0425</f>
        <v>0</v>
      </c>
      <c r="MOM16" s="238">
        <f t="shared" ref="MOM16" si="4591">MOM11*0.0425</f>
        <v>0</v>
      </c>
      <c r="MOO16" s="238">
        <f t="shared" ref="MOO16" si="4592">MOO11*0.0425</f>
        <v>0</v>
      </c>
      <c r="MOQ16" s="238">
        <f t="shared" ref="MOQ16" si="4593">MOQ11*0.0425</f>
        <v>0</v>
      </c>
      <c r="MOS16" s="238">
        <f t="shared" ref="MOS16" si="4594">MOS11*0.0425</f>
        <v>0</v>
      </c>
      <c r="MOU16" s="238">
        <f t="shared" ref="MOU16" si="4595">MOU11*0.0425</f>
        <v>0</v>
      </c>
      <c r="MOW16" s="238">
        <f t="shared" ref="MOW16" si="4596">MOW11*0.0425</f>
        <v>0</v>
      </c>
      <c r="MOY16" s="238">
        <f t="shared" ref="MOY16" si="4597">MOY11*0.0425</f>
        <v>0</v>
      </c>
      <c r="MPA16" s="238">
        <f t="shared" ref="MPA16" si="4598">MPA11*0.0425</f>
        <v>0</v>
      </c>
      <c r="MPC16" s="238">
        <f t="shared" ref="MPC16" si="4599">MPC11*0.0425</f>
        <v>0</v>
      </c>
      <c r="MPE16" s="238">
        <f t="shared" ref="MPE16" si="4600">MPE11*0.0425</f>
        <v>0</v>
      </c>
      <c r="MPG16" s="238">
        <f t="shared" ref="MPG16" si="4601">MPG11*0.0425</f>
        <v>0</v>
      </c>
      <c r="MPI16" s="238">
        <f t="shared" ref="MPI16" si="4602">MPI11*0.0425</f>
        <v>0</v>
      </c>
      <c r="MPK16" s="238">
        <f t="shared" ref="MPK16" si="4603">MPK11*0.0425</f>
        <v>0</v>
      </c>
      <c r="MPM16" s="238">
        <f t="shared" ref="MPM16" si="4604">MPM11*0.0425</f>
        <v>0</v>
      </c>
      <c r="MPO16" s="238">
        <f t="shared" ref="MPO16" si="4605">MPO11*0.0425</f>
        <v>0</v>
      </c>
      <c r="MPQ16" s="238">
        <f t="shared" ref="MPQ16" si="4606">MPQ11*0.0425</f>
        <v>0</v>
      </c>
      <c r="MPS16" s="238">
        <f t="shared" ref="MPS16" si="4607">MPS11*0.0425</f>
        <v>0</v>
      </c>
      <c r="MPU16" s="238">
        <f t="shared" ref="MPU16" si="4608">MPU11*0.0425</f>
        <v>0</v>
      </c>
      <c r="MPW16" s="238">
        <f t="shared" ref="MPW16" si="4609">MPW11*0.0425</f>
        <v>0</v>
      </c>
      <c r="MPY16" s="238">
        <f t="shared" ref="MPY16" si="4610">MPY11*0.0425</f>
        <v>0</v>
      </c>
      <c r="MQA16" s="238">
        <f t="shared" ref="MQA16" si="4611">MQA11*0.0425</f>
        <v>0</v>
      </c>
      <c r="MQC16" s="238">
        <f t="shared" ref="MQC16" si="4612">MQC11*0.0425</f>
        <v>0</v>
      </c>
      <c r="MQE16" s="238">
        <f t="shared" ref="MQE16" si="4613">MQE11*0.0425</f>
        <v>0</v>
      </c>
      <c r="MQG16" s="238">
        <f t="shared" ref="MQG16" si="4614">MQG11*0.0425</f>
        <v>0</v>
      </c>
      <c r="MQI16" s="238">
        <f t="shared" ref="MQI16" si="4615">MQI11*0.0425</f>
        <v>0</v>
      </c>
      <c r="MQK16" s="238">
        <f t="shared" ref="MQK16" si="4616">MQK11*0.0425</f>
        <v>0</v>
      </c>
      <c r="MQM16" s="238">
        <f t="shared" ref="MQM16" si="4617">MQM11*0.0425</f>
        <v>0</v>
      </c>
      <c r="MQO16" s="238">
        <f t="shared" ref="MQO16" si="4618">MQO11*0.0425</f>
        <v>0</v>
      </c>
      <c r="MQQ16" s="238">
        <f t="shared" ref="MQQ16" si="4619">MQQ11*0.0425</f>
        <v>0</v>
      </c>
      <c r="MQS16" s="238">
        <f t="shared" ref="MQS16" si="4620">MQS11*0.0425</f>
        <v>0</v>
      </c>
      <c r="MQU16" s="238">
        <f t="shared" ref="MQU16" si="4621">MQU11*0.0425</f>
        <v>0</v>
      </c>
      <c r="MQW16" s="238">
        <f t="shared" ref="MQW16" si="4622">MQW11*0.0425</f>
        <v>0</v>
      </c>
      <c r="MQY16" s="238">
        <f t="shared" ref="MQY16" si="4623">MQY11*0.0425</f>
        <v>0</v>
      </c>
      <c r="MRA16" s="238">
        <f t="shared" ref="MRA16" si="4624">MRA11*0.0425</f>
        <v>0</v>
      </c>
      <c r="MRC16" s="238">
        <f t="shared" ref="MRC16" si="4625">MRC11*0.0425</f>
        <v>0</v>
      </c>
      <c r="MRE16" s="238">
        <f t="shared" ref="MRE16" si="4626">MRE11*0.0425</f>
        <v>0</v>
      </c>
      <c r="MRG16" s="238">
        <f t="shared" ref="MRG16" si="4627">MRG11*0.0425</f>
        <v>0</v>
      </c>
      <c r="MRI16" s="238">
        <f t="shared" ref="MRI16" si="4628">MRI11*0.0425</f>
        <v>0</v>
      </c>
      <c r="MRK16" s="238">
        <f t="shared" ref="MRK16" si="4629">MRK11*0.0425</f>
        <v>0</v>
      </c>
      <c r="MRM16" s="238">
        <f t="shared" ref="MRM16" si="4630">MRM11*0.0425</f>
        <v>0</v>
      </c>
      <c r="MRO16" s="238">
        <f t="shared" ref="MRO16" si="4631">MRO11*0.0425</f>
        <v>0</v>
      </c>
      <c r="MRQ16" s="238">
        <f t="shared" ref="MRQ16" si="4632">MRQ11*0.0425</f>
        <v>0</v>
      </c>
      <c r="MRS16" s="238">
        <f t="shared" ref="MRS16" si="4633">MRS11*0.0425</f>
        <v>0</v>
      </c>
      <c r="MRU16" s="238">
        <f t="shared" ref="MRU16" si="4634">MRU11*0.0425</f>
        <v>0</v>
      </c>
      <c r="MRW16" s="238">
        <f t="shared" ref="MRW16" si="4635">MRW11*0.0425</f>
        <v>0</v>
      </c>
      <c r="MRY16" s="238">
        <f t="shared" ref="MRY16" si="4636">MRY11*0.0425</f>
        <v>0</v>
      </c>
      <c r="MSA16" s="238">
        <f t="shared" ref="MSA16" si="4637">MSA11*0.0425</f>
        <v>0</v>
      </c>
      <c r="MSC16" s="238">
        <f t="shared" ref="MSC16" si="4638">MSC11*0.0425</f>
        <v>0</v>
      </c>
      <c r="MSE16" s="238">
        <f t="shared" ref="MSE16" si="4639">MSE11*0.0425</f>
        <v>0</v>
      </c>
      <c r="MSG16" s="238">
        <f t="shared" ref="MSG16" si="4640">MSG11*0.0425</f>
        <v>0</v>
      </c>
      <c r="MSI16" s="238">
        <f t="shared" ref="MSI16" si="4641">MSI11*0.0425</f>
        <v>0</v>
      </c>
      <c r="MSK16" s="238">
        <f t="shared" ref="MSK16" si="4642">MSK11*0.0425</f>
        <v>0</v>
      </c>
      <c r="MSM16" s="238">
        <f t="shared" ref="MSM16" si="4643">MSM11*0.0425</f>
        <v>0</v>
      </c>
      <c r="MSO16" s="238">
        <f t="shared" ref="MSO16" si="4644">MSO11*0.0425</f>
        <v>0</v>
      </c>
      <c r="MSQ16" s="238">
        <f t="shared" ref="MSQ16" si="4645">MSQ11*0.0425</f>
        <v>0</v>
      </c>
      <c r="MSS16" s="238">
        <f t="shared" ref="MSS16" si="4646">MSS11*0.0425</f>
        <v>0</v>
      </c>
      <c r="MSU16" s="238">
        <f t="shared" ref="MSU16" si="4647">MSU11*0.0425</f>
        <v>0</v>
      </c>
      <c r="MSW16" s="238">
        <f t="shared" ref="MSW16" si="4648">MSW11*0.0425</f>
        <v>0</v>
      </c>
      <c r="MSY16" s="238">
        <f t="shared" ref="MSY16" si="4649">MSY11*0.0425</f>
        <v>0</v>
      </c>
      <c r="MTA16" s="238">
        <f t="shared" ref="MTA16" si="4650">MTA11*0.0425</f>
        <v>0</v>
      </c>
      <c r="MTC16" s="238">
        <f t="shared" ref="MTC16" si="4651">MTC11*0.0425</f>
        <v>0</v>
      </c>
      <c r="MTE16" s="238">
        <f t="shared" ref="MTE16" si="4652">MTE11*0.0425</f>
        <v>0</v>
      </c>
      <c r="MTG16" s="238">
        <f t="shared" ref="MTG16" si="4653">MTG11*0.0425</f>
        <v>0</v>
      </c>
      <c r="MTI16" s="238">
        <f t="shared" ref="MTI16" si="4654">MTI11*0.0425</f>
        <v>0</v>
      </c>
      <c r="MTK16" s="238">
        <f t="shared" ref="MTK16" si="4655">MTK11*0.0425</f>
        <v>0</v>
      </c>
      <c r="MTM16" s="238">
        <f t="shared" ref="MTM16" si="4656">MTM11*0.0425</f>
        <v>0</v>
      </c>
      <c r="MTO16" s="238">
        <f t="shared" ref="MTO16" si="4657">MTO11*0.0425</f>
        <v>0</v>
      </c>
      <c r="MTQ16" s="238">
        <f t="shared" ref="MTQ16" si="4658">MTQ11*0.0425</f>
        <v>0</v>
      </c>
      <c r="MTS16" s="238">
        <f t="shared" ref="MTS16" si="4659">MTS11*0.0425</f>
        <v>0</v>
      </c>
      <c r="MTU16" s="238">
        <f t="shared" ref="MTU16" si="4660">MTU11*0.0425</f>
        <v>0</v>
      </c>
      <c r="MTW16" s="238">
        <f t="shared" ref="MTW16" si="4661">MTW11*0.0425</f>
        <v>0</v>
      </c>
      <c r="MTY16" s="238">
        <f t="shared" ref="MTY16" si="4662">MTY11*0.0425</f>
        <v>0</v>
      </c>
      <c r="MUA16" s="238">
        <f t="shared" ref="MUA16" si="4663">MUA11*0.0425</f>
        <v>0</v>
      </c>
      <c r="MUC16" s="238">
        <f t="shared" ref="MUC16" si="4664">MUC11*0.0425</f>
        <v>0</v>
      </c>
      <c r="MUE16" s="238">
        <f t="shared" ref="MUE16" si="4665">MUE11*0.0425</f>
        <v>0</v>
      </c>
      <c r="MUG16" s="238">
        <f t="shared" ref="MUG16" si="4666">MUG11*0.0425</f>
        <v>0</v>
      </c>
      <c r="MUI16" s="238">
        <f t="shared" ref="MUI16" si="4667">MUI11*0.0425</f>
        <v>0</v>
      </c>
      <c r="MUK16" s="238">
        <f t="shared" ref="MUK16" si="4668">MUK11*0.0425</f>
        <v>0</v>
      </c>
      <c r="MUM16" s="238">
        <f t="shared" ref="MUM16" si="4669">MUM11*0.0425</f>
        <v>0</v>
      </c>
      <c r="MUO16" s="238">
        <f t="shared" ref="MUO16" si="4670">MUO11*0.0425</f>
        <v>0</v>
      </c>
      <c r="MUQ16" s="238">
        <f t="shared" ref="MUQ16" si="4671">MUQ11*0.0425</f>
        <v>0</v>
      </c>
      <c r="MUS16" s="238">
        <f t="shared" ref="MUS16" si="4672">MUS11*0.0425</f>
        <v>0</v>
      </c>
      <c r="MUU16" s="238">
        <f t="shared" ref="MUU16" si="4673">MUU11*0.0425</f>
        <v>0</v>
      </c>
      <c r="MUW16" s="238">
        <f t="shared" ref="MUW16" si="4674">MUW11*0.0425</f>
        <v>0</v>
      </c>
      <c r="MUY16" s="238">
        <f t="shared" ref="MUY16" si="4675">MUY11*0.0425</f>
        <v>0</v>
      </c>
      <c r="MVA16" s="238">
        <f t="shared" ref="MVA16" si="4676">MVA11*0.0425</f>
        <v>0</v>
      </c>
      <c r="MVC16" s="238">
        <f t="shared" ref="MVC16" si="4677">MVC11*0.0425</f>
        <v>0</v>
      </c>
      <c r="MVE16" s="238">
        <f t="shared" ref="MVE16" si="4678">MVE11*0.0425</f>
        <v>0</v>
      </c>
      <c r="MVG16" s="238">
        <f t="shared" ref="MVG16" si="4679">MVG11*0.0425</f>
        <v>0</v>
      </c>
      <c r="MVI16" s="238">
        <f t="shared" ref="MVI16" si="4680">MVI11*0.0425</f>
        <v>0</v>
      </c>
      <c r="MVK16" s="238">
        <f t="shared" ref="MVK16" si="4681">MVK11*0.0425</f>
        <v>0</v>
      </c>
      <c r="MVM16" s="238">
        <f t="shared" ref="MVM16" si="4682">MVM11*0.0425</f>
        <v>0</v>
      </c>
      <c r="MVO16" s="238">
        <f t="shared" ref="MVO16" si="4683">MVO11*0.0425</f>
        <v>0</v>
      </c>
      <c r="MVQ16" s="238">
        <f t="shared" ref="MVQ16" si="4684">MVQ11*0.0425</f>
        <v>0</v>
      </c>
      <c r="MVS16" s="238">
        <f t="shared" ref="MVS16" si="4685">MVS11*0.0425</f>
        <v>0</v>
      </c>
      <c r="MVU16" s="238">
        <f t="shared" ref="MVU16" si="4686">MVU11*0.0425</f>
        <v>0</v>
      </c>
      <c r="MVW16" s="238">
        <f t="shared" ref="MVW16" si="4687">MVW11*0.0425</f>
        <v>0</v>
      </c>
      <c r="MVY16" s="238">
        <f t="shared" ref="MVY16" si="4688">MVY11*0.0425</f>
        <v>0</v>
      </c>
      <c r="MWA16" s="238">
        <f t="shared" ref="MWA16" si="4689">MWA11*0.0425</f>
        <v>0</v>
      </c>
      <c r="MWC16" s="238">
        <f t="shared" ref="MWC16" si="4690">MWC11*0.0425</f>
        <v>0</v>
      </c>
      <c r="MWE16" s="238">
        <f t="shared" ref="MWE16" si="4691">MWE11*0.0425</f>
        <v>0</v>
      </c>
      <c r="MWG16" s="238">
        <f t="shared" ref="MWG16" si="4692">MWG11*0.0425</f>
        <v>0</v>
      </c>
      <c r="MWI16" s="238">
        <f t="shared" ref="MWI16" si="4693">MWI11*0.0425</f>
        <v>0</v>
      </c>
      <c r="MWK16" s="238">
        <f t="shared" ref="MWK16" si="4694">MWK11*0.0425</f>
        <v>0</v>
      </c>
      <c r="MWM16" s="238">
        <f t="shared" ref="MWM16" si="4695">MWM11*0.0425</f>
        <v>0</v>
      </c>
      <c r="MWO16" s="238">
        <f t="shared" ref="MWO16" si="4696">MWO11*0.0425</f>
        <v>0</v>
      </c>
      <c r="MWQ16" s="238">
        <f t="shared" ref="MWQ16" si="4697">MWQ11*0.0425</f>
        <v>0</v>
      </c>
      <c r="MWS16" s="238">
        <f t="shared" ref="MWS16" si="4698">MWS11*0.0425</f>
        <v>0</v>
      </c>
      <c r="MWU16" s="238">
        <f t="shared" ref="MWU16" si="4699">MWU11*0.0425</f>
        <v>0</v>
      </c>
      <c r="MWW16" s="238">
        <f t="shared" ref="MWW16" si="4700">MWW11*0.0425</f>
        <v>0</v>
      </c>
      <c r="MWY16" s="238">
        <f t="shared" ref="MWY16" si="4701">MWY11*0.0425</f>
        <v>0</v>
      </c>
      <c r="MXA16" s="238">
        <f t="shared" ref="MXA16" si="4702">MXA11*0.0425</f>
        <v>0</v>
      </c>
      <c r="MXC16" s="238">
        <f t="shared" ref="MXC16" si="4703">MXC11*0.0425</f>
        <v>0</v>
      </c>
      <c r="MXE16" s="238">
        <f t="shared" ref="MXE16" si="4704">MXE11*0.0425</f>
        <v>0</v>
      </c>
      <c r="MXG16" s="238">
        <f t="shared" ref="MXG16" si="4705">MXG11*0.0425</f>
        <v>0</v>
      </c>
      <c r="MXI16" s="238">
        <f t="shared" ref="MXI16" si="4706">MXI11*0.0425</f>
        <v>0</v>
      </c>
      <c r="MXK16" s="238">
        <f t="shared" ref="MXK16" si="4707">MXK11*0.0425</f>
        <v>0</v>
      </c>
      <c r="MXM16" s="238">
        <f t="shared" ref="MXM16" si="4708">MXM11*0.0425</f>
        <v>0</v>
      </c>
      <c r="MXO16" s="238">
        <f t="shared" ref="MXO16" si="4709">MXO11*0.0425</f>
        <v>0</v>
      </c>
      <c r="MXQ16" s="238">
        <f t="shared" ref="MXQ16" si="4710">MXQ11*0.0425</f>
        <v>0</v>
      </c>
      <c r="MXS16" s="238">
        <f t="shared" ref="MXS16" si="4711">MXS11*0.0425</f>
        <v>0</v>
      </c>
      <c r="MXU16" s="238">
        <f t="shared" ref="MXU16" si="4712">MXU11*0.0425</f>
        <v>0</v>
      </c>
      <c r="MXW16" s="238">
        <f t="shared" ref="MXW16" si="4713">MXW11*0.0425</f>
        <v>0</v>
      </c>
      <c r="MXY16" s="238">
        <f t="shared" ref="MXY16" si="4714">MXY11*0.0425</f>
        <v>0</v>
      </c>
      <c r="MYA16" s="238">
        <f t="shared" ref="MYA16" si="4715">MYA11*0.0425</f>
        <v>0</v>
      </c>
      <c r="MYC16" s="238">
        <f t="shared" ref="MYC16" si="4716">MYC11*0.0425</f>
        <v>0</v>
      </c>
      <c r="MYE16" s="238">
        <f t="shared" ref="MYE16" si="4717">MYE11*0.0425</f>
        <v>0</v>
      </c>
      <c r="MYG16" s="238">
        <f t="shared" ref="MYG16" si="4718">MYG11*0.0425</f>
        <v>0</v>
      </c>
      <c r="MYI16" s="238">
        <f t="shared" ref="MYI16" si="4719">MYI11*0.0425</f>
        <v>0</v>
      </c>
      <c r="MYK16" s="238">
        <f t="shared" ref="MYK16" si="4720">MYK11*0.0425</f>
        <v>0</v>
      </c>
      <c r="MYM16" s="238">
        <f t="shared" ref="MYM16" si="4721">MYM11*0.0425</f>
        <v>0</v>
      </c>
      <c r="MYO16" s="238">
        <f t="shared" ref="MYO16" si="4722">MYO11*0.0425</f>
        <v>0</v>
      </c>
      <c r="MYQ16" s="238">
        <f t="shared" ref="MYQ16" si="4723">MYQ11*0.0425</f>
        <v>0</v>
      </c>
      <c r="MYS16" s="238">
        <f t="shared" ref="MYS16" si="4724">MYS11*0.0425</f>
        <v>0</v>
      </c>
      <c r="MYU16" s="238">
        <f t="shared" ref="MYU16" si="4725">MYU11*0.0425</f>
        <v>0</v>
      </c>
      <c r="MYW16" s="238">
        <f t="shared" ref="MYW16" si="4726">MYW11*0.0425</f>
        <v>0</v>
      </c>
      <c r="MYY16" s="238">
        <f t="shared" ref="MYY16" si="4727">MYY11*0.0425</f>
        <v>0</v>
      </c>
      <c r="MZA16" s="238">
        <f t="shared" ref="MZA16" si="4728">MZA11*0.0425</f>
        <v>0</v>
      </c>
      <c r="MZC16" s="238">
        <f t="shared" ref="MZC16" si="4729">MZC11*0.0425</f>
        <v>0</v>
      </c>
      <c r="MZE16" s="238">
        <f t="shared" ref="MZE16" si="4730">MZE11*0.0425</f>
        <v>0</v>
      </c>
      <c r="MZG16" s="238">
        <f t="shared" ref="MZG16" si="4731">MZG11*0.0425</f>
        <v>0</v>
      </c>
      <c r="MZI16" s="238">
        <f t="shared" ref="MZI16" si="4732">MZI11*0.0425</f>
        <v>0</v>
      </c>
      <c r="MZK16" s="238">
        <f t="shared" ref="MZK16" si="4733">MZK11*0.0425</f>
        <v>0</v>
      </c>
      <c r="MZM16" s="238">
        <f t="shared" ref="MZM16" si="4734">MZM11*0.0425</f>
        <v>0</v>
      </c>
      <c r="MZO16" s="238">
        <f t="shared" ref="MZO16" si="4735">MZO11*0.0425</f>
        <v>0</v>
      </c>
      <c r="MZQ16" s="238">
        <f t="shared" ref="MZQ16" si="4736">MZQ11*0.0425</f>
        <v>0</v>
      </c>
      <c r="MZS16" s="238">
        <f t="shared" ref="MZS16" si="4737">MZS11*0.0425</f>
        <v>0</v>
      </c>
      <c r="MZU16" s="238">
        <f t="shared" ref="MZU16" si="4738">MZU11*0.0425</f>
        <v>0</v>
      </c>
      <c r="MZW16" s="238">
        <f t="shared" ref="MZW16" si="4739">MZW11*0.0425</f>
        <v>0</v>
      </c>
      <c r="MZY16" s="238">
        <f t="shared" ref="MZY16" si="4740">MZY11*0.0425</f>
        <v>0</v>
      </c>
      <c r="NAA16" s="238">
        <f t="shared" ref="NAA16" si="4741">NAA11*0.0425</f>
        <v>0</v>
      </c>
      <c r="NAC16" s="238">
        <f t="shared" ref="NAC16" si="4742">NAC11*0.0425</f>
        <v>0</v>
      </c>
      <c r="NAE16" s="238">
        <f t="shared" ref="NAE16" si="4743">NAE11*0.0425</f>
        <v>0</v>
      </c>
      <c r="NAG16" s="238">
        <f t="shared" ref="NAG16" si="4744">NAG11*0.0425</f>
        <v>0</v>
      </c>
      <c r="NAI16" s="238">
        <f t="shared" ref="NAI16" si="4745">NAI11*0.0425</f>
        <v>0</v>
      </c>
      <c r="NAK16" s="238">
        <f t="shared" ref="NAK16" si="4746">NAK11*0.0425</f>
        <v>0</v>
      </c>
      <c r="NAM16" s="238">
        <f t="shared" ref="NAM16" si="4747">NAM11*0.0425</f>
        <v>0</v>
      </c>
      <c r="NAO16" s="238">
        <f t="shared" ref="NAO16" si="4748">NAO11*0.0425</f>
        <v>0</v>
      </c>
      <c r="NAQ16" s="238">
        <f t="shared" ref="NAQ16" si="4749">NAQ11*0.0425</f>
        <v>0</v>
      </c>
      <c r="NAS16" s="238">
        <f t="shared" ref="NAS16" si="4750">NAS11*0.0425</f>
        <v>0</v>
      </c>
      <c r="NAU16" s="238">
        <f t="shared" ref="NAU16" si="4751">NAU11*0.0425</f>
        <v>0</v>
      </c>
      <c r="NAW16" s="238">
        <f t="shared" ref="NAW16" si="4752">NAW11*0.0425</f>
        <v>0</v>
      </c>
      <c r="NAY16" s="238">
        <f t="shared" ref="NAY16" si="4753">NAY11*0.0425</f>
        <v>0</v>
      </c>
      <c r="NBA16" s="238">
        <f t="shared" ref="NBA16" si="4754">NBA11*0.0425</f>
        <v>0</v>
      </c>
      <c r="NBC16" s="238">
        <f t="shared" ref="NBC16" si="4755">NBC11*0.0425</f>
        <v>0</v>
      </c>
      <c r="NBE16" s="238">
        <f t="shared" ref="NBE16" si="4756">NBE11*0.0425</f>
        <v>0</v>
      </c>
      <c r="NBG16" s="238">
        <f t="shared" ref="NBG16" si="4757">NBG11*0.0425</f>
        <v>0</v>
      </c>
      <c r="NBI16" s="238">
        <f t="shared" ref="NBI16" si="4758">NBI11*0.0425</f>
        <v>0</v>
      </c>
      <c r="NBK16" s="238">
        <f t="shared" ref="NBK16" si="4759">NBK11*0.0425</f>
        <v>0</v>
      </c>
      <c r="NBM16" s="238">
        <f t="shared" ref="NBM16" si="4760">NBM11*0.0425</f>
        <v>0</v>
      </c>
      <c r="NBO16" s="238">
        <f t="shared" ref="NBO16" si="4761">NBO11*0.0425</f>
        <v>0</v>
      </c>
      <c r="NBQ16" s="238">
        <f t="shared" ref="NBQ16" si="4762">NBQ11*0.0425</f>
        <v>0</v>
      </c>
      <c r="NBS16" s="238">
        <f t="shared" ref="NBS16" si="4763">NBS11*0.0425</f>
        <v>0</v>
      </c>
      <c r="NBU16" s="238">
        <f t="shared" ref="NBU16" si="4764">NBU11*0.0425</f>
        <v>0</v>
      </c>
      <c r="NBW16" s="238">
        <f t="shared" ref="NBW16" si="4765">NBW11*0.0425</f>
        <v>0</v>
      </c>
      <c r="NBY16" s="238">
        <f t="shared" ref="NBY16" si="4766">NBY11*0.0425</f>
        <v>0</v>
      </c>
      <c r="NCA16" s="238">
        <f t="shared" ref="NCA16" si="4767">NCA11*0.0425</f>
        <v>0</v>
      </c>
      <c r="NCC16" s="238">
        <f t="shared" ref="NCC16" si="4768">NCC11*0.0425</f>
        <v>0</v>
      </c>
      <c r="NCE16" s="238">
        <f t="shared" ref="NCE16" si="4769">NCE11*0.0425</f>
        <v>0</v>
      </c>
      <c r="NCG16" s="238">
        <f t="shared" ref="NCG16" si="4770">NCG11*0.0425</f>
        <v>0</v>
      </c>
      <c r="NCI16" s="238">
        <f t="shared" ref="NCI16" si="4771">NCI11*0.0425</f>
        <v>0</v>
      </c>
      <c r="NCK16" s="238">
        <f t="shared" ref="NCK16" si="4772">NCK11*0.0425</f>
        <v>0</v>
      </c>
      <c r="NCM16" s="238">
        <f t="shared" ref="NCM16" si="4773">NCM11*0.0425</f>
        <v>0</v>
      </c>
      <c r="NCO16" s="238">
        <f t="shared" ref="NCO16" si="4774">NCO11*0.0425</f>
        <v>0</v>
      </c>
      <c r="NCQ16" s="238">
        <f t="shared" ref="NCQ16" si="4775">NCQ11*0.0425</f>
        <v>0</v>
      </c>
      <c r="NCS16" s="238">
        <f t="shared" ref="NCS16" si="4776">NCS11*0.0425</f>
        <v>0</v>
      </c>
      <c r="NCU16" s="238">
        <f t="shared" ref="NCU16" si="4777">NCU11*0.0425</f>
        <v>0</v>
      </c>
      <c r="NCW16" s="238">
        <f t="shared" ref="NCW16" si="4778">NCW11*0.0425</f>
        <v>0</v>
      </c>
      <c r="NCY16" s="238">
        <f t="shared" ref="NCY16" si="4779">NCY11*0.0425</f>
        <v>0</v>
      </c>
      <c r="NDA16" s="238">
        <f t="shared" ref="NDA16" si="4780">NDA11*0.0425</f>
        <v>0</v>
      </c>
      <c r="NDC16" s="238">
        <f t="shared" ref="NDC16" si="4781">NDC11*0.0425</f>
        <v>0</v>
      </c>
      <c r="NDE16" s="238">
        <f t="shared" ref="NDE16" si="4782">NDE11*0.0425</f>
        <v>0</v>
      </c>
      <c r="NDG16" s="238">
        <f t="shared" ref="NDG16" si="4783">NDG11*0.0425</f>
        <v>0</v>
      </c>
      <c r="NDI16" s="238">
        <f t="shared" ref="NDI16" si="4784">NDI11*0.0425</f>
        <v>0</v>
      </c>
      <c r="NDK16" s="238">
        <f t="shared" ref="NDK16" si="4785">NDK11*0.0425</f>
        <v>0</v>
      </c>
      <c r="NDM16" s="238">
        <f t="shared" ref="NDM16" si="4786">NDM11*0.0425</f>
        <v>0</v>
      </c>
      <c r="NDO16" s="238">
        <f t="shared" ref="NDO16" si="4787">NDO11*0.0425</f>
        <v>0</v>
      </c>
      <c r="NDQ16" s="238">
        <f t="shared" ref="NDQ16" si="4788">NDQ11*0.0425</f>
        <v>0</v>
      </c>
      <c r="NDS16" s="238">
        <f t="shared" ref="NDS16" si="4789">NDS11*0.0425</f>
        <v>0</v>
      </c>
      <c r="NDU16" s="238">
        <f t="shared" ref="NDU16" si="4790">NDU11*0.0425</f>
        <v>0</v>
      </c>
      <c r="NDW16" s="238">
        <f t="shared" ref="NDW16" si="4791">NDW11*0.0425</f>
        <v>0</v>
      </c>
      <c r="NDY16" s="238">
        <f t="shared" ref="NDY16" si="4792">NDY11*0.0425</f>
        <v>0</v>
      </c>
      <c r="NEA16" s="238">
        <f t="shared" ref="NEA16" si="4793">NEA11*0.0425</f>
        <v>0</v>
      </c>
      <c r="NEC16" s="238">
        <f t="shared" ref="NEC16" si="4794">NEC11*0.0425</f>
        <v>0</v>
      </c>
      <c r="NEE16" s="238">
        <f t="shared" ref="NEE16" si="4795">NEE11*0.0425</f>
        <v>0</v>
      </c>
      <c r="NEG16" s="238">
        <f t="shared" ref="NEG16" si="4796">NEG11*0.0425</f>
        <v>0</v>
      </c>
      <c r="NEI16" s="238">
        <f t="shared" ref="NEI16" si="4797">NEI11*0.0425</f>
        <v>0</v>
      </c>
      <c r="NEK16" s="238">
        <f t="shared" ref="NEK16" si="4798">NEK11*0.0425</f>
        <v>0</v>
      </c>
      <c r="NEM16" s="238">
        <f t="shared" ref="NEM16" si="4799">NEM11*0.0425</f>
        <v>0</v>
      </c>
      <c r="NEO16" s="238">
        <f t="shared" ref="NEO16" si="4800">NEO11*0.0425</f>
        <v>0</v>
      </c>
      <c r="NEQ16" s="238">
        <f t="shared" ref="NEQ16" si="4801">NEQ11*0.0425</f>
        <v>0</v>
      </c>
      <c r="NES16" s="238">
        <f t="shared" ref="NES16" si="4802">NES11*0.0425</f>
        <v>0</v>
      </c>
      <c r="NEU16" s="238">
        <f t="shared" ref="NEU16" si="4803">NEU11*0.0425</f>
        <v>0</v>
      </c>
      <c r="NEW16" s="238">
        <f t="shared" ref="NEW16" si="4804">NEW11*0.0425</f>
        <v>0</v>
      </c>
      <c r="NEY16" s="238">
        <f t="shared" ref="NEY16" si="4805">NEY11*0.0425</f>
        <v>0</v>
      </c>
      <c r="NFA16" s="238">
        <f t="shared" ref="NFA16" si="4806">NFA11*0.0425</f>
        <v>0</v>
      </c>
      <c r="NFC16" s="238">
        <f t="shared" ref="NFC16" si="4807">NFC11*0.0425</f>
        <v>0</v>
      </c>
      <c r="NFE16" s="238">
        <f t="shared" ref="NFE16" si="4808">NFE11*0.0425</f>
        <v>0</v>
      </c>
      <c r="NFG16" s="238">
        <f t="shared" ref="NFG16" si="4809">NFG11*0.0425</f>
        <v>0</v>
      </c>
      <c r="NFI16" s="238">
        <f t="shared" ref="NFI16" si="4810">NFI11*0.0425</f>
        <v>0</v>
      </c>
      <c r="NFK16" s="238">
        <f t="shared" ref="NFK16" si="4811">NFK11*0.0425</f>
        <v>0</v>
      </c>
      <c r="NFM16" s="238">
        <f t="shared" ref="NFM16" si="4812">NFM11*0.0425</f>
        <v>0</v>
      </c>
      <c r="NFO16" s="238">
        <f t="shared" ref="NFO16" si="4813">NFO11*0.0425</f>
        <v>0</v>
      </c>
      <c r="NFQ16" s="238">
        <f t="shared" ref="NFQ16" si="4814">NFQ11*0.0425</f>
        <v>0</v>
      </c>
      <c r="NFS16" s="238">
        <f t="shared" ref="NFS16" si="4815">NFS11*0.0425</f>
        <v>0</v>
      </c>
      <c r="NFU16" s="238">
        <f t="shared" ref="NFU16" si="4816">NFU11*0.0425</f>
        <v>0</v>
      </c>
      <c r="NFW16" s="238">
        <f t="shared" ref="NFW16" si="4817">NFW11*0.0425</f>
        <v>0</v>
      </c>
      <c r="NFY16" s="238">
        <f t="shared" ref="NFY16" si="4818">NFY11*0.0425</f>
        <v>0</v>
      </c>
      <c r="NGA16" s="238">
        <f t="shared" ref="NGA16" si="4819">NGA11*0.0425</f>
        <v>0</v>
      </c>
      <c r="NGC16" s="238">
        <f t="shared" ref="NGC16" si="4820">NGC11*0.0425</f>
        <v>0</v>
      </c>
      <c r="NGE16" s="238">
        <f t="shared" ref="NGE16" si="4821">NGE11*0.0425</f>
        <v>0</v>
      </c>
      <c r="NGG16" s="238">
        <f t="shared" ref="NGG16" si="4822">NGG11*0.0425</f>
        <v>0</v>
      </c>
      <c r="NGI16" s="238">
        <f t="shared" ref="NGI16" si="4823">NGI11*0.0425</f>
        <v>0</v>
      </c>
      <c r="NGK16" s="238">
        <f t="shared" ref="NGK16" si="4824">NGK11*0.0425</f>
        <v>0</v>
      </c>
      <c r="NGM16" s="238">
        <f t="shared" ref="NGM16" si="4825">NGM11*0.0425</f>
        <v>0</v>
      </c>
      <c r="NGO16" s="238">
        <f t="shared" ref="NGO16" si="4826">NGO11*0.0425</f>
        <v>0</v>
      </c>
      <c r="NGQ16" s="238">
        <f t="shared" ref="NGQ16" si="4827">NGQ11*0.0425</f>
        <v>0</v>
      </c>
      <c r="NGS16" s="238">
        <f t="shared" ref="NGS16" si="4828">NGS11*0.0425</f>
        <v>0</v>
      </c>
      <c r="NGU16" s="238">
        <f t="shared" ref="NGU16" si="4829">NGU11*0.0425</f>
        <v>0</v>
      </c>
      <c r="NGW16" s="238">
        <f t="shared" ref="NGW16" si="4830">NGW11*0.0425</f>
        <v>0</v>
      </c>
      <c r="NGY16" s="238">
        <f t="shared" ref="NGY16" si="4831">NGY11*0.0425</f>
        <v>0</v>
      </c>
      <c r="NHA16" s="238">
        <f t="shared" ref="NHA16" si="4832">NHA11*0.0425</f>
        <v>0</v>
      </c>
      <c r="NHC16" s="238">
        <f t="shared" ref="NHC16" si="4833">NHC11*0.0425</f>
        <v>0</v>
      </c>
      <c r="NHE16" s="238">
        <f t="shared" ref="NHE16" si="4834">NHE11*0.0425</f>
        <v>0</v>
      </c>
      <c r="NHG16" s="238">
        <f t="shared" ref="NHG16" si="4835">NHG11*0.0425</f>
        <v>0</v>
      </c>
      <c r="NHI16" s="238">
        <f t="shared" ref="NHI16" si="4836">NHI11*0.0425</f>
        <v>0</v>
      </c>
      <c r="NHK16" s="238">
        <f t="shared" ref="NHK16" si="4837">NHK11*0.0425</f>
        <v>0</v>
      </c>
      <c r="NHM16" s="238">
        <f t="shared" ref="NHM16" si="4838">NHM11*0.0425</f>
        <v>0</v>
      </c>
      <c r="NHO16" s="238">
        <f t="shared" ref="NHO16" si="4839">NHO11*0.0425</f>
        <v>0</v>
      </c>
      <c r="NHQ16" s="238">
        <f t="shared" ref="NHQ16" si="4840">NHQ11*0.0425</f>
        <v>0</v>
      </c>
      <c r="NHS16" s="238">
        <f t="shared" ref="NHS16" si="4841">NHS11*0.0425</f>
        <v>0</v>
      </c>
      <c r="NHU16" s="238">
        <f t="shared" ref="NHU16" si="4842">NHU11*0.0425</f>
        <v>0</v>
      </c>
      <c r="NHW16" s="238">
        <f t="shared" ref="NHW16" si="4843">NHW11*0.0425</f>
        <v>0</v>
      </c>
      <c r="NHY16" s="238">
        <f t="shared" ref="NHY16" si="4844">NHY11*0.0425</f>
        <v>0</v>
      </c>
      <c r="NIA16" s="238">
        <f t="shared" ref="NIA16" si="4845">NIA11*0.0425</f>
        <v>0</v>
      </c>
      <c r="NIC16" s="238">
        <f t="shared" ref="NIC16" si="4846">NIC11*0.0425</f>
        <v>0</v>
      </c>
      <c r="NIE16" s="238">
        <f t="shared" ref="NIE16" si="4847">NIE11*0.0425</f>
        <v>0</v>
      </c>
      <c r="NIG16" s="238">
        <f t="shared" ref="NIG16" si="4848">NIG11*0.0425</f>
        <v>0</v>
      </c>
      <c r="NII16" s="238">
        <f t="shared" ref="NII16" si="4849">NII11*0.0425</f>
        <v>0</v>
      </c>
      <c r="NIK16" s="238">
        <f t="shared" ref="NIK16" si="4850">NIK11*0.0425</f>
        <v>0</v>
      </c>
      <c r="NIM16" s="238">
        <f t="shared" ref="NIM16" si="4851">NIM11*0.0425</f>
        <v>0</v>
      </c>
      <c r="NIO16" s="238">
        <f t="shared" ref="NIO16" si="4852">NIO11*0.0425</f>
        <v>0</v>
      </c>
      <c r="NIQ16" s="238">
        <f t="shared" ref="NIQ16" si="4853">NIQ11*0.0425</f>
        <v>0</v>
      </c>
      <c r="NIS16" s="238">
        <f t="shared" ref="NIS16" si="4854">NIS11*0.0425</f>
        <v>0</v>
      </c>
      <c r="NIU16" s="238">
        <f t="shared" ref="NIU16" si="4855">NIU11*0.0425</f>
        <v>0</v>
      </c>
      <c r="NIW16" s="238">
        <f t="shared" ref="NIW16" si="4856">NIW11*0.0425</f>
        <v>0</v>
      </c>
      <c r="NIY16" s="238">
        <f t="shared" ref="NIY16" si="4857">NIY11*0.0425</f>
        <v>0</v>
      </c>
      <c r="NJA16" s="238">
        <f t="shared" ref="NJA16" si="4858">NJA11*0.0425</f>
        <v>0</v>
      </c>
      <c r="NJC16" s="238">
        <f t="shared" ref="NJC16" si="4859">NJC11*0.0425</f>
        <v>0</v>
      </c>
      <c r="NJE16" s="238">
        <f t="shared" ref="NJE16" si="4860">NJE11*0.0425</f>
        <v>0</v>
      </c>
      <c r="NJG16" s="238">
        <f t="shared" ref="NJG16" si="4861">NJG11*0.0425</f>
        <v>0</v>
      </c>
      <c r="NJI16" s="238">
        <f t="shared" ref="NJI16" si="4862">NJI11*0.0425</f>
        <v>0</v>
      </c>
      <c r="NJK16" s="238">
        <f t="shared" ref="NJK16" si="4863">NJK11*0.0425</f>
        <v>0</v>
      </c>
      <c r="NJM16" s="238">
        <f t="shared" ref="NJM16" si="4864">NJM11*0.0425</f>
        <v>0</v>
      </c>
      <c r="NJO16" s="238">
        <f t="shared" ref="NJO16" si="4865">NJO11*0.0425</f>
        <v>0</v>
      </c>
      <c r="NJQ16" s="238">
        <f t="shared" ref="NJQ16" si="4866">NJQ11*0.0425</f>
        <v>0</v>
      </c>
      <c r="NJS16" s="238">
        <f t="shared" ref="NJS16" si="4867">NJS11*0.0425</f>
        <v>0</v>
      </c>
      <c r="NJU16" s="238">
        <f t="shared" ref="NJU16" si="4868">NJU11*0.0425</f>
        <v>0</v>
      </c>
      <c r="NJW16" s="238">
        <f t="shared" ref="NJW16" si="4869">NJW11*0.0425</f>
        <v>0</v>
      </c>
      <c r="NJY16" s="238">
        <f t="shared" ref="NJY16" si="4870">NJY11*0.0425</f>
        <v>0</v>
      </c>
      <c r="NKA16" s="238">
        <f t="shared" ref="NKA16" si="4871">NKA11*0.0425</f>
        <v>0</v>
      </c>
      <c r="NKC16" s="238">
        <f t="shared" ref="NKC16" si="4872">NKC11*0.0425</f>
        <v>0</v>
      </c>
      <c r="NKE16" s="238">
        <f t="shared" ref="NKE16" si="4873">NKE11*0.0425</f>
        <v>0</v>
      </c>
      <c r="NKG16" s="238">
        <f t="shared" ref="NKG16" si="4874">NKG11*0.0425</f>
        <v>0</v>
      </c>
      <c r="NKI16" s="238">
        <f t="shared" ref="NKI16" si="4875">NKI11*0.0425</f>
        <v>0</v>
      </c>
      <c r="NKK16" s="238">
        <f t="shared" ref="NKK16" si="4876">NKK11*0.0425</f>
        <v>0</v>
      </c>
      <c r="NKM16" s="238">
        <f t="shared" ref="NKM16" si="4877">NKM11*0.0425</f>
        <v>0</v>
      </c>
      <c r="NKO16" s="238">
        <f t="shared" ref="NKO16" si="4878">NKO11*0.0425</f>
        <v>0</v>
      </c>
      <c r="NKQ16" s="238">
        <f t="shared" ref="NKQ16" si="4879">NKQ11*0.0425</f>
        <v>0</v>
      </c>
      <c r="NKS16" s="238">
        <f t="shared" ref="NKS16" si="4880">NKS11*0.0425</f>
        <v>0</v>
      </c>
      <c r="NKU16" s="238">
        <f t="shared" ref="NKU16" si="4881">NKU11*0.0425</f>
        <v>0</v>
      </c>
      <c r="NKW16" s="238">
        <f t="shared" ref="NKW16" si="4882">NKW11*0.0425</f>
        <v>0</v>
      </c>
      <c r="NKY16" s="238">
        <f t="shared" ref="NKY16" si="4883">NKY11*0.0425</f>
        <v>0</v>
      </c>
      <c r="NLA16" s="238">
        <f t="shared" ref="NLA16" si="4884">NLA11*0.0425</f>
        <v>0</v>
      </c>
      <c r="NLC16" s="238">
        <f t="shared" ref="NLC16" si="4885">NLC11*0.0425</f>
        <v>0</v>
      </c>
      <c r="NLE16" s="238">
        <f t="shared" ref="NLE16" si="4886">NLE11*0.0425</f>
        <v>0</v>
      </c>
      <c r="NLG16" s="238">
        <f t="shared" ref="NLG16" si="4887">NLG11*0.0425</f>
        <v>0</v>
      </c>
      <c r="NLI16" s="238">
        <f t="shared" ref="NLI16" si="4888">NLI11*0.0425</f>
        <v>0</v>
      </c>
      <c r="NLK16" s="238">
        <f t="shared" ref="NLK16" si="4889">NLK11*0.0425</f>
        <v>0</v>
      </c>
      <c r="NLM16" s="238">
        <f t="shared" ref="NLM16" si="4890">NLM11*0.0425</f>
        <v>0</v>
      </c>
      <c r="NLO16" s="238">
        <f t="shared" ref="NLO16" si="4891">NLO11*0.0425</f>
        <v>0</v>
      </c>
      <c r="NLQ16" s="238">
        <f t="shared" ref="NLQ16" si="4892">NLQ11*0.0425</f>
        <v>0</v>
      </c>
      <c r="NLS16" s="238">
        <f t="shared" ref="NLS16" si="4893">NLS11*0.0425</f>
        <v>0</v>
      </c>
      <c r="NLU16" s="238">
        <f t="shared" ref="NLU16" si="4894">NLU11*0.0425</f>
        <v>0</v>
      </c>
      <c r="NLW16" s="238">
        <f t="shared" ref="NLW16" si="4895">NLW11*0.0425</f>
        <v>0</v>
      </c>
      <c r="NLY16" s="238">
        <f t="shared" ref="NLY16" si="4896">NLY11*0.0425</f>
        <v>0</v>
      </c>
      <c r="NMA16" s="238">
        <f t="shared" ref="NMA16" si="4897">NMA11*0.0425</f>
        <v>0</v>
      </c>
      <c r="NMC16" s="238">
        <f t="shared" ref="NMC16" si="4898">NMC11*0.0425</f>
        <v>0</v>
      </c>
      <c r="NME16" s="238">
        <f t="shared" ref="NME16" si="4899">NME11*0.0425</f>
        <v>0</v>
      </c>
      <c r="NMG16" s="238">
        <f t="shared" ref="NMG16" si="4900">NMG11*0.0425</f>
        <v>0</v>
      </c>
      <c r="NMI16" s="238">
        <f t="shared" ref="NMI16" si="4901">NMI11*0.0425</f>
        <v>0</v>
      </c>
      <c r="NMK16" s="238">
        <f t="shared" ref="NMK16" si="4902">NMK11*0.0425</f>
        <v>0</v>
      </c>
      <c r="NMM16" s="238">
        <f t="shared" ref="NMM16" si="4903">NMM11*0.0425</f>
        <v>0</v>
      </c>
      <c r="NMO16" s="238">
        <f t="shared" ref="NMO16" si="4904">NMO11*0.0425</f>
        <v>0</v>
      </c>
      <c r="NMQ16" s="238">
        <f t="shared" ref="NMQ16" si="4905">NMQ11*0.0425</f>
        <v>0</v>
      </c>
      <c r="NMS16" s="238">
        <f t="shared" ref="NMS16" si="4906">NMS11*0.0425</f>
        <v>0</v>
      </c>
      <c r="NMU16" s="238">
        <f t="shared" ref="NMU16" si="4907">NMU11*0.0425</f>
        <v>0</v>
      </c>
      <c r="NMW16" s="238">
        <f t="shared" ref="NMW16" si="4908">NMW11*0.0425</f>
        <v>0</v>
      </c>
      <c r="NMY16" s="238">
        <f t="shared" ref="NMY16" si="4909">NMY11*0.0425</f>
        <v>0</v>
      </c>
      <c r="NNA16" s="238">
        <f t="shared" ref="NNA16" si="4910">NNA11*0.0425</f>
        <v>0</v>
      </c>
      <c r="NNC16" s="238">
        <f t="shared" ref="NNC16" si="4911">NNC11*0.0425</f>
        <v>0</v>
      </c>
      <c r="NNE16" s="238">
        <f t="shared" ref="NNE16" si="4912">NNE11*0.0425</f>
        <v>0</v>
      </c>
      <c r="NNG16" s="238">
        <f t="shared" ref="NNG16" si="4913">NNG11*0.0425</f>
        <v>0</v>
      </c>
      <c r="NNI16" s="238">
        <f t="shared" ref="NNI16" si="4914">NNI11*0.0425</f>
        <v>0</v>
      </c>
      <c r="NNK16" s="238">
        <f t="shared" ref="NNK16" si="4915">NNK11*0.0425</f>
        <v>0</v>
      </c>
      <c r="NNM16" s="238">
        <f t="shared" ref="NNM16" si="4916">NNM11*0.0425</f>
        <v>0</v>
      </c>
      <c r="NNO16" s="238">
        <f t="shared" ref="NNO16" si="4917">NNO11*0.0425</f>
        <v>0</v>
      </c>
      <c r="NNQ16" s="238">
        <f t="shared" ref="NNQ16" si="4918">NNQ11*0.0425</f>
        <v>0</v>
      </c>
      <c r="NNS16" s="238">
        <f t="shared" ref="NNS16" si="4919">NNS11*0.0425</f>
        <v>0</v>
      </c>
      <c r="NNU16" s="238">
        <f t="shared" ref="NNU16" si="4920">NNU11*0.0425</f>
        <v>0</v>
      </c>
      <c r="NNW16" s="238">
        <f t="shared" ref="NNW16" si="4921">NNW11*0.0425</f>
        <v>0</v>
      </c>
      <c r="NNY16" s="238">
        <f t="shared" ref="NNY16" si="4922">NNY11*0.0425</f>
        <v>0</v>
      </c>
      <c r="NOA16" s="238">
        <f t="shared" ref="NOA16" si="4923">NOA11*0.0425</f>
        <v>0</v>
      </c>
      <c r="NOC16" s="238">
        <f t="shared" ref="NOC16" si="4924">NOC11*0.0425</f>
        <v>0</v>
      </c>
      <c r="NOE16" s="238">
        <f t="shared" ref="NOE16" si="4925">NOE11*0.0425</f>
        <v>0</v>
      </c>
      <c r="NOG16" s="238">
        <f t="shared" ref="NOG16" si="4926">NOG11*0.0425</f>
        <v>0</v>
      </c>
      <c r="NOI16" s="238">
        <f t="shared" ref="NOI16" si="4927">NOI11*0.0425</f>
        <v>0</v>
      </c>
      <c r="NOK16" s="238">
        <f t="shared" ref="NOK16" si="4928">NOK11*0.0425</f>
        <v>0</v>
      </c>
      <c r="NOM16" s="238">
        <f t="shared" ref="NOM16" si="4929">NOM11*0.0425</f>
        <v>0</v>
      </c>
      <c r="NOO16" s="238">
        <f t="shared" ref="NOO16" si="4930">NOO11*0.0425</f>
        <v>0</v>
      </c>
      <c r="NOQ16" s="238">
        <f t="shared" ref="NOQ16" si="4931">NOQ11*0.0425</f>
        <v>0</v>
      </c>
      <c r="NOS16" s="238">
        <f t="shared" ref="NOS16" si="4932">NOS11*0.0425</f>
        <v>0</v>
      </c>
      <c r="NOU16" s="238">
        <f t="shared" ref="NOU16" si="4933">NOU11*0.0425</f>
        <v>0</v>
      </c>
      <c r="NOW16" s="238">
        <f t="shared" ref="NOW16" si="4934">NOW11*0.0425</f>
        <v>0</v>
      </c>
      <c r="NOY16" s="238">
        <f t="shared" ref="NOY16" si="4935">NOY11*0.0425</f>
        <v>0</v>
      </c>
      <c r="NPA16" s="238">
        <f t="shared" ref="NPA16" si="4936">NPA11*0.0425</f>
        <v>0</v>
      </c>
      <c r="NPC16" s="238">
        <f t="shared" ref="NPC16" si="4937">NPC11*0.0425</f>
        <v>0</v>
      </c>
      <c r="NPE16" s="238">
        <f t="shared" ref="NPE16" si="4938">NPE11*0.0425</f>
        <v>0</v>
      </c>
      <c r="NPG16" s="238">
        <f t="shared" ref="NPG16" si="4939">NPG11*0.0425</f>
        <v>0</v>
      </c>
      <c r="NPI16" s="238">
        <f t="shared" ref="NPI16" si="4940">NPI11*0.0425</f>
        <v>0</v>
      </c>
      <c r="NPK16" s="238">
        <f t="shared" ref="NPK16" si="4941">NPK11*0.0425</f>
        <v>0</v>
      </c>
      <c r="NPM16" s="238">
        <f t="shared" ref="NPM16" si="4942">NPM11*0.0425</f>
        <v>0</v>
      </c>
      <c r="NPO16" s="238">
        <f t="shared" ref="NPO16" si="4943">NPO11*0.0425</f>
        <v>0</v>
      </c>
      <c r="NPQ16" s="238">
        <f t="shared" ref="NPQ16" si="4944">NPQ11*0.0425</f>
        <v>0</v>
      </c>
      <c r="NPS16" s="238">
        <f t="shared" ref="NPS16" si="4945">NPS11*0.0425</f>
        <v>0</v>
      </c>
      <c r="NPU16" s="238">
        <f t="shared" ref="NPU16" si="4946">NPU11*0.0425</f>
        <v>0</v>
      </c>
      <c r="NPW16" s="238">
        <f t="shared" ref="NPW16" si="4947">NPW11*0.0425</f>
        <v>0</v>
      </c>
      <c r="NPY16" s="238">
        <f t="shared" ref="NPY16" si="4948">NPY11*0.0425</f>
        <v>0</v>
      </c>
      <c r="NQA16" s="238">
        <f t="shared" ref="NQA16" si="4949">NQA11*0.0425</f>
        <v>0</v>
      </c>
      <c r="NQC16" s="238">
        <f t="shared" ref="NQC16" si="4950">NQC11*0.0425</f>
        <v>0</v>
      </c>
      <c r="NQE16" s="238">
        <f t="shared" ref="NQE16" si="4951">NQE11*0.0425</f>
        <v>0</v>
      </c>
      <c r="NQG16" s="238">
        <f t="shared" ref="NQG16" si="4952">NQG11*0.0425</f>
        <v>0</v>
      </c>
      <c r="NQI16" s="238">
        <f t="shared" ref="NQI16" si="4953">NQI11*0.0425</f>
        <v>0</v>
      </c>
      <c r="NQK16" s="238">
        <f t="shared" ref="NQK16" si="4954">NQK11*0.0425</f>
        <v>0</v>
      </c>
      <c r="NQM16" s="238">
        <f t="shared" ref="NQM16" si="4955">NQM11*0.0425</f>
        <v>0</v>
      </c>
      <c r="NQO16" s="238">
        <f t="shared" ref="NQO16" si="4956">NQO11*0.0425</f>
        <v>0</v>
      </c>
      <c r="NQQ16" s="238">
        <f t="shared" ref="NQQ16" si="4957">NQQ11*0.0425</f>
        <v>0</v>
      </c>
      <c r="NQS16" s="238">
        <f t="shared" ref="NQS16" si="4958">NQS11*0.0425</f>
        <v>0</v>
      </c>
      <c r="NQU16" s="238">
        <f t="shared" ref="NQU16" si="4959">NQU11*0.0425</f>
        <v>0</v>
      </c>
      <c r="NQW16" s="238">
        <f t="shared" ref="NQW16" si="4960">NQW11*0.0425</f>
        <v>0</v>
      </c>
      <c r="NQY16" s="238">
        <f t="shared" ref="NQY16" si="4961">NQY11*0.0425</f>
        <v>0</v>
      </c>
      <c r="NRA16" s="238">
        <f t="shared" ref="NRA16" si="4962">NRA11*0.0425</f>
        <v>0</v>
      </c>
      <c r="NRC16" s="238">
        <f t="shared" ref="NRC16" si="4963">NRC11*0.0425</f>
        <v>0</v>
      </c>
      <c r="NRE16" s="238">
        <f t="shared" ref="NRE16" si="4964">NRE11*0.0425</f>
        <v>0</v>
      </c>
      <c r="NRG16" s="238">
        <f t="shared" ref="NRG16" si="4965">NRG11*0.0425</f>
        <v>0</v>
      </c>
      <c r="NRI16" s="238">
        <f t="shared" ref="NRI16" si="4966">NRI11*0.0425</f>
        <v>0</v>
      </c>
      <c r="NRK16" s="238">
        <f t="shared" ref="NRK16" si="4967">NRK11*0.0425</f>
        <v>0</v>
      </c>
      <c r="NRM16" s="238">
        <f t="shared" ref="NRM16" si="4968">NRM11*0.0425</f>
        <v>0</v>
      </c>
      <c r="NRO16" s="238">
        <f t="shared" ref="NRO16" si="4969">NRO11*0.0425</f>
        <v>0</v>
      </c>
      <c r="NRQ16" s="238">
        <f t="shared" ref="NRQ16" si="4970">NRQ11*0.0425</f>
        <v>0</v>
      </c>
      <c r="NRS16" s="238">
        <f t="shared" ref="NRS16" si="4971">NRS11*0.0425</f>
        <v>0</v>
      </c>
      <c r="NRU16" s="238">
        <f t="shared" ref="NRU16" si="4972">NRU11*0.0425</f>
        <v>0</v>
      </c>
      <c r="NRW16" s="238">
        <f t="shared" ref="NRW16" si="4973">NRW11*0.0425</f>
        <v>0</v>
      </c>
      <c r="NRY16" s="238">
        <f t="shared" ref="NRY16" si="4974">NRY11*0.0425</f>
        <v>0</v>
      </c>
      <c r="NSA16" s="238">
        <f t="shared" ref="NSA16" si="4975">NSA11*0.0425</f>
        <v>0</v>
      </c>
      <c r="NSC16" s="238">
        <f t="shared" ref="NSC16" si="4976">NSC11*0.0425</f>
        <v>0</v>
      </c>
      <c r="NSE16" s="238">
        <f t="shared" ref="NSE16" si="4977">NSE11*0.0425</f>
        <v>0</v>
      </c>
      <c r="NSG16" s="238">
        <f t="shared" ref="NSG16" si="4978">NSG11*0.0425</f>
        <v>0</v>
      </c>
      <c r="NSI16" s="238">
        <f t="shared" ref="NSI16" si="4979">NSI11*0.0425</f>
        <v>0</v>
      </c>
      <c r="NSK16" s="238">
        <f t="shared" ref="NSK16" si="4980">NSK11*0.0425</f>
        <v>0</v>
      </c>
      <c r="NSM16" s="238">
        <f t="shared" ref="NSM16" si="4981">NSM11*0.0425</f>
        <v>0</v>
      </c>
      <c r="NSO16" s="238">
        <f t="shared" ref="NSO16" si="4982">NSO11*0.0425</f>
        <v>0</v>
      </c>
      <c r="NSQ16" s="238">
        <f t="shared" ref="NSQ16" si="4983">NSQ11*0.0425</f>
        <v>0</v>
      </c>
      <c r="NSS16" s="238">
        <f t="shared" ref="NSS16" si="4984">NSS11*0.0425</f>
        <v>0</v>
      </c>
      <c r="NSU16" s="238">
        <f t="shared" ref="NSU16" si="4985">NSU11*0.0425</f>
        <v>0</v>
      </c>
      <c r="NSW16" s="238">
        <f t="shared" ref="NSW16" si="4986">NSW11*0.0425</f>
        <v>0</v>
      </c>
      <c r="NSY16" s="238">
        <f t="shared" ref="NSY16" si="4987">NSY11*0.0425</f>
        <v>0</v>
      </c>
      <c r="NTA16" s="238">
        <f t="shared" ref="NTA16" si="4988">NTA11*0.0425</f>
        <v>0</v>
      </c>
      <c r="NTC16" s="238">
        <f t="shared" ref="NTC16" si="4989">NTC11*0.0425</f>
        <v>0</v>
      </c>
      <c r="NTE16" s="238">
        <f t="shared" ref="NTE16" si="4990">NTE11*0.0425</f>
        <v>0</v>
      </c>
      <c r="NTG16" s="238">
        <f t="shared" ref="NTG16" si="4991">NTG11*0.0425</f>
        <v>0</v>
      </c>
      <c r="NTI16" s="238">
        <f t="shared" ref="NTI16" si="4992">NTI11*0.0425</f>
        <v>0</v>
      </c>
      <c r="NTK16" s="238">
        <f t="shared" ref="NTK16" si="4993">NTK11*0.0425</f>
        <v>0</v>
      </c>
      <c r="NTM16" s="238">
        <f t="shared" ref="NTM16" si="4994">NTM11*0.0425</f>
        <v>0</v>
      </c>
      <c r="NTO16" s="238">
        <f t="shared" ref="NTO16" si="4995">NTO11*0.0425</f>
        <v>0</v>
      </c>
      <c r="NTQ16" s="238">
        <f t="shared" ref="NTQ16" si="4996">NTQ11*0.0425</f>
        <v>0</v>
      </c>
      <c r="NTS16" s="238">
        <f t="shared" ref="NTS16" si="4997">NTS11*0.0425</f>
        <v>0</v>
      </c>
      <c r="NTU16" s="238">
        <f t="shared" ref="NTU16" si="4998">NTU11*0.0425</f>
        <v>0</v>
      </c>
      <c r="NTW16" s="238">
        <f t="shared" ref="NTW16" si="4999">NTW11*0.0425</f>
        <v>0</v>
      </c>
      <c r="NTY16" s="238">
        <f t="shared" ref="NTY16" si="5000">NTY11*0.0425</f>
        <v>0</v>
      </c>
      <c r="NUA16" s="238">
        <f t="shared" ref="NUA16" si="5001">NUA11*0.0425</f>
        <v>0</v>
      </c>
      <c r="NUC16" s="238">
        <f t="shared" ref="NUC16" si="5002">NUC11*0.0425</f>
        <v>0</v>
      </c>
      <c r="NUE16" s="238">
        <f t="shared" ref="NUE16" si="5003">NUE11*0.0425</f>
        <v>0</v>
      </c>
      <c r="NUG16" s="238">
        <f t="shared" ref="NUG16" si="5004">NUG11*0.0425</f>
        <v>0</v>
      </c>
      <c r="NUI16" s="238">
        <f t="shared" ref="NUI16" si="5005">NUI11*0.0425</f>
        <v>0</v>
      </c>
      <c r="NUK16" s="238">
        <f t="shared" ref="NUK16" si="5006">NUK11*0.0425</f>
        <v>0</v>
      </c>
      <c r="NUM16" s="238">
        <f t="shared" ref="NUM16" si="5007">NUM11*0.0425</f>
        <v>0</v>
      </c>
      <c r="NUO16" s="238">
        <f t="shared" ref="NUO16" si="5008">NUO11*0.0425</f>
        <v>0</v>
      </c>
      <c r="NUQ16" s="238">
        <f t="shared" ref="NUQ16" si="5009">NUQ11*0.0425</f>
        <v>0</v>
      </c>
      <c r="NUS16" s="238">
        <f t="shared" ref="NUS16" si="5010">NUS11*0.0425</f>
        <v>0</v>
      </c>
      <c r="NUU16" s="238">
        <f t="shared" ref="NUU16" si="5011">NUU11*0.0425</f>
        <v>0</v>
      </c>
      <c r="NUW16" s="238">
        <f t="shared" ref="NUW16" si="5012">NUW11*0.0425</f>
        <v>0</v>
      </c>
      <c r="NUY16" s="238">
        <f t="shared" ref="NUY16" si="5013">NUY11*0.0425</f>
        <v>0</v>
      </c>
      <c r="NVA16" s="238">
        <f t="shared" ref="NVA16" si="5014">NVA11*0.0425</f>
        <v>0</v>
      </c>
      <c r="NVC16" s="238">
        <f t="shared" ref="NVC16" si="5015">NVC11*0.0425</f>
        <v>0</v>
      </c>
      <c r="NVE16" s="238">
        <f t="shared" ref="NVE16" si="5016">NVE11*0.0425</f>
        <v>0</v>
      </c>
      <c r="NVG16" s="238">
        <f t="shared" ref="NVG16" si="5017">NVG11*0.0425</f>
        <v>0</v>
      </c>
      <c r="NVI16" s="238">
        <f t="shared" ref="NVI16" si="5018">NVI11*0.0425</f>
        <v>0</v>
      </c>
      <c r="NVK16" s="238">
        <f t="shared" ref="NVK16" si="5019">NVK11*0.0425</f>
        <v>0</v>
      </c>
      <c r="NVM16" s="238">
        <f t="shared" ref="NVM16" si="5020">NVM11*0.0425</f>
        <v>0</v>
      </c>
      <c r="NVO16" s="238">
        <f t="shared" ref="NVO16" si="5021">NVO11*0.0425</f>
        <v>0</v>
      </c>
      <c r="NVQ16" s="238">
        <f t="shared" ref="NVQ16" si="5022">NVQ11*0.0425</f>
        <v>0</v>
      </c>
      <c r="NVS16" s="238">
        <f t="shared" ref="NVS16" si="5023">NVS11*0.0425</f>
        <v>0</v>
      </c>
      <c r="NVU16" s="238">
        <f t="shared" ref="NVU16" si="5024">NVU11*0.0425</f>
        <v>0</v>
      </c>
      <c r="NVW16" s="238">
        <f t="shared" ref="NVW16" si="5025">NVW11*0.0425</f>
        <v>0</v>
      </c>
      <c r="NVY16" s="238">
        <f t="shared" ref="NVY16" si="5026">NVY11*0.0425</f>
        <v>0</v>
      </c>
      <c r="NWA16" s="238">
        <f t="shared" ref="NWA16" si="5027">NWA11*0.0425</f>
        <v>0</v>
      </c>
      <c r="NWC16" s="238">
        <f t="shared" ref="NWC16" si="5028">NWC11*0.0425</f>
        <v>0</v>
      </c>
      <c r="NWE16" s="238">
        <f t="shared" ref="NWE16" si="5029">NWE11*0.0425</f>
        <v>0</v>
      </c>
      <c r="NWG16" s="238">
        <f t="shared" ref="NWG16" si="5030">NWG11*0.0425</f>
        <v>0</v>
      </c>
      <c r="NWI16" s="238">
        <f t="shared" ref="NWI16" si="5031">NWI11*0.0425</f>
        <v>0</v>
      </c>
      <c r="NWK16" s="238">
        <f t="shared" ref="NWK16" si="5032">NWK11*0.0425</f>
        <v>0</v>
      </c>
      <c r="NWM16" s="238">
        <f t="shared" ref="NWM16" si="5033">NWM11*0.0425</f>
        <v>0</v>
      </c>
      <c r="NWO16" s="238">
        <f t="shared" ref="NWO16" si="5034">NWO11*0.0425</f>
        <v>0</v>
      </c>
      <c r="NWQ16" s="238">
        <f t="shared" ref="NWQ16" si="5035">NWQ11*0.0425</f>
        <v>0</v>
      </c>
      <c r="NWS16" s="238">
        <f t="shared" ref="NWS16" si="5036">NWS11*0.0425</f>
        <v>0</v>
      </c>
      <c r="NWU16" s="238">
        <f t="shared" ref="NWU16" si="5037">NWU11*0.0425</f>
        <v>0</v>
      </c>
      <c r="NWW16" s="238">
        <f t="shared" ref="NWW16" si="5038">NWW11*0.0425</f>
        <v>0</v>
      </c>
      <c r="NWY16" s="238">
        <f t="shared" ref="NWY16" si="5039">NWY11*0.0425</f>
        <v>0</v>
      </c>
      <c r="NXA16" s="238">
        <f t="shared" ref="NXA16" si="5040">NXA11*0.0425</f>
        <v>0</v>
      </c>
      <c r="NXC16" s="238">
        <f t="shared" ref="NXC16" si="5041">NXC11*0.0425</f>
        <v>0</v>
      </c>
      <c r="NXE16" s="238">
        <f t="shared" ref="NXE16" si="5042">NXE11*0.0425</f>
        <v>0</v>
      </c>
      <c r="NXG16" s="238">
        <f t="shared" ref="NXG16" si="5043">NXG11*0.0425</f>
        <v>0</v>
      </c>
      <c r="NXI16" s="238">
        <f t="shared" ref="NXI16" si="5044">NXI11*0.0425</f>
        <v>0</v>
      </c>
      <c r="NXK16" s="238">
        <f t="shared" ref="NXK16" si="5045">NXK11*0.0425</f>
        <v>0</v>
      </c>
      <c r="NXM16" s="238">
        <f t="shared" ref="NXM16" si="5046">NXM11*0.0425</f>
        <v>0</v>
      </c>
      <c r="NXO16" s="238">
        <f t="shared" ref="NXO16" si="5047">NXO11*0.0425</f>
        <v>0</v>
      </c>
      <c r="NXQ16" s="238">
        <f t="shared" ref="NXQ16" si="5048">NXQ11*0.0425</f>
        <v>0</v>
      </c>
      <c r="NXS16" s="238">
        <f t="shared" ref="NXS16" si="5049">NXS11*0.0425</f>
        <v>0</v>
      </c>
      <c r="NXU16" s="238">
        <f t="shared" ref="NXU16" si="5050">NXU11*0.0425</f>
        <v>0</v>
      </c>
      <c r="NXW16" s="238">
        <f t="shared" ref="NXW16" si="5051">NXW11*0.0425</f>
        <v>0</v>
      </c>
      <c r="NXY16" s="238">
        <f t="shared" ref="NXY16" si="5052">NXY11*0.0425</f>
        <v>0</v>
      </c>
      <c r="NYA16" s="238">
        <f t="shared" ref="NYA16" si="5053">NYA11*0.0425</f>
        <v>0</v>
      </c>
      <c r="NYC16" s="238">
        <f t="shared" ref="NYC16" si="5054">NYC11*0.0425</f>
        <v>0</v>
      </c>
      <c r="NYE16" s="238">
        <f t="shared" ref="NYE16" si="5055">NYE11*0.0425</f>
        <v>0</v>
      </c>
      <c r="NYG16" s="238">
        <f t="shared" ref="NYG16" si="5056">NYG11*0.0425</f>
        <v>0</v>
      </c>
      <c r="NYI16" s="238">
        <f t="shared" ref="NYI16" si="5057">NYI11*0.0425</f>
        <v>0</v>
      </c>
      <c r="NYK16" s="238">
        <f t="shared" ref="NYK16" si="5058">NYK11*0.0425</f>
        <v>0</v>
      </c>
      <c r="NYM16" s="238">
        <f t="shared" ref="NYM16" si="5059">NYM11*0.0425</f>
        <v>0</v>
      </c>
      <c r="NYO16" s="238">
        <f t="shared" ref="NYO16" si="5060">NYO11*0.0425</f>
        <v>0</v>
      </c>
      <c r="NYQ16" s="238">
        <f t="shared" ref="NYQ16" si="5061">NYQ11*0.0425</f>
        <v>0</v>
      </c>
      <c r="NYS16" s="238">
        <f t="shared" ref="NYS16" si="5062">NYS11*0.0425</f>
        <v>0</v>
      </c>
      <c r="NYU16" s="238">
        <f t="shared" ref="NYU16" si="5063">NYU11*0.0425</f>
        <v>0</v>
      </c>
      <c r="NYW16" s="238">
        <f t="shared" ref="NYW16" si="5064">NYW11*0.0425</f>
        <v>0</v>
      </c>
      <c r="NYY16" s="238">
        <f t="shared" ref="NYY16" si="5065">NYY11*0.0425</f>
        <v>0</v>
      </c>
      <c r="NZA16" s="238">
        <f t="shared" ref="NZA16" si="5066">NZA11*0.0425</f>
        <v>0</v>
      </c>
      <c r="NZC16" s="238">
        <f t="shared" ref="NZC16" si="5067">NZC11*0.0425</f>
        <v>0</v>
      </c>
      <c r="NZE16" s="238">
        <f t="shared" ref="NZE16" si="5068">NZE11*0.0425</f>
        <v>0</v>
      </c>
      <c r="NZG16" s="238">
        <f t="shared" ref="NZG16" si="5069">NZG11*0.0425</f>
        <v>0</v>
      </c>
      <c r="NZI16" s="238">
        <f t="shared" ref="NZI16" si="5070">NZI11*0.0425</f>
        <v>0</v>
      </c>
      <c r="NZK16" s="238">
        <f t="shared" ref="NZK16" si="5071">NZK11*0.0425</f>
        <v>0</v>
      </c>
      <c r="NZM16" s="238">
        <f t="shared" ref="NZM16" si="5072">NZM11*0.0425</f>
        <v>0</v>
      </c>
      <c r="NZO16" s="238">
        <f t="shared" ref="NZO16" si="5073">NZO11*0.0425</f>
        <v>0</v>
      </c>
      <c r="NZQ16" s="238">
        <f t="shared" ref="NZQ16" si="5074">NZQ11*0.0425</f>
        <v>0</v>
      </c>
      <c r="NZS16" s="238">
        <f t="shared" ref="NZS16" si="5075">NZS11*0.0425</f>
        <v>0</v>
      </c>
      <c r="NZU16" s="238">
        <f t="shared" ref="NZU16" si="5076">NZU11*0.0425</f>
        <v>0</v>
      </c>
      <c r="NZW16" s="238">
        <f t="shared" ref="NZW16" si="5077">NZW11*0.0425</f>
        <v>0</v>
      </c>
      <c r="NZY16" s="238">
        <f t="shared" ref="NZY16" si="5078">NZY11*0.0425</f>
        <v>0</v>
      </c>
      <c r="OAA16" s="238">
        <f t="shared" ref="OAA16" si="5079">OAA11*0.0425</f>
        <v>0</v>
      </c>
      <c r="OAC16" s="238">
        <f t="shared" ref="OAC16" si="5080">OAC11*0.0425</f>
        <v>0</v>
      </c>
      <c r="OAE16" s="238">
        <f t="shared" ref="OAE16" si="5081">OAE11*0.0425</f>
        <v>0</v>
      </c>
      <c r="OAG16" s="238">
        <f t="shared" ref="OAG16" si="5082">OAG11*0.0425</f>
        <v>0</v>
      </c>
      <c r="OAI16" s="238">
        <f t="shared" ref="OAI16" si="5083">OAI11*0.0425</f>
        <v>0</v>
      </c>
      <c r="OAK16" s="238">
        <f t="shared" ref="OAK16" si="5084">OAK11*0.0425</f>
        <v>0</v>
      </c>
      <c r="OAM16" s="238">
        <f t="shared" ref="OAM16" si="5085">OAM11*0.0425</f>
        <v>0</v>
      </c>
      <c r="OAO16" s="238">
        <f t="shared" ref="OAO16" si="5086">OAO11*0.0425</f>
        <v>0</v>
      </c>
      <c r="OAQ16" s="238">
        <f t="shared" ref="OAQ16" si="5087">OAQ11*0.0425</f>
        <v>0</v>
      </c>
      <c r="OAS16" s="238">
        <f t="shared" ref="OAS16" si="5088">OAS11*0.0425</f>
        <v>0</v>
      </c>
      <c r="OAU16" s="238">
        <f t="shared" ref="OAU16" si="5089">OAU11*0.0425</f>
        <v>0</v>
      </c>
      <c r="OAW16" s="238">
        <f t="shared" ref="OAW16" si="5090">OAW11*0.0425</f>
        <v>0</v>
      </c>
      <c r="OAY16" s="238">
        <f t="shared" ref="OAY16" si="5091">OAY11*0.0425</f>
        <v>0</v>
      </c>
      <c r="OBA16" s="238">
        <f t="shared" ref="OBA16" si="5092">OBA11*0.0425</f>
        <v>0</v>
      </c>
      <c r="OBC16" s="238">
        <f t="shared" ref="OBC16" si="5093">OBC11*0.0425</f>
        <v>0</v>
      </c>
      <c r="OBE16" s="238">
        <f t="shared" ref="OBE16" si="5094">OBE11*0.0425</f>
        <v>0</v>
      </c>
      <c r="OBG16" s="238">
        <f t="shared" ref="OBG16" si="5095">OBG11*0.0425</f>
        <v>0</v>
      </c>
      <c r="OBI16" s="238">
        <f t="shared" ref="OBI16" si="5096">OBI11*0.0425</f>
        <v>0</v>
      </c>
      <c r="OBK16" s="238">
        <f t="shared" ref="OBK16" si="5097">OBK11*0.0425</f>
        <v>0</v>
      </c>
      <c r="OBM16" s="238">
        <f t="shared" ref="OBM16" si="5098">OBM11*0.0425</f>
        <v>0</v>
      </c>
      <c r="OBO16" s="238">
        <f t="shared" ref="OBO16" si="5099">OBO11*0.0425</f>
        <v>0</v>
      </c>
      <c r="OBQ16" s="238">
        <f t="shared" ref="OBQ16" si="5100">OBQ11*0.0425</f>
        <v>0</v>
      </c>
      <c r="OBS16" s="238">
        <f t="shared" ref="OBS16" si="5101">OBS11*0.0425</f>
        <v>0</v>
      </c>
      <c r="OBU16" s="238">
        <f t="shared" ref="OBU16" si="5102">OBU11*0.0425</f>
        <v>0</v>
      </c>
      <c r="OBW16" s="238">
        <f t="shared" ref="OBW16" si="5103">OBW11*0.0425</f>
        <v>0</v>
      </c>
      <c r="OBY16" s="238">
        <f t="shared" ref="OBY16" si="5104">OBY11*0.0425</f>
        <v>0</v>
      </c>
      <c r="OCA16" s="238">
        <f t="shared" ref="OCA16" si="5105">OCA11*0.0425</f>
        <v>0</v>
      </c>
      <c r="OCC16" s="238">
        <f t="shared" ref="OCC16" si="5106">OCC11*0.0425</f>
        <v>0</v>
      </c>
      <c r="OCE16" s="238">
        <f t="shared" ref="OCE16" si="5107">OCE11*0.0425</f>
        <v>0</v>
      </c>
      <c r="OCG16" s="238">
        <f t="shared" ref="OCG16" si="5108">OCG11*0.0425</f>
        <v>0</v>
      </c>
      <c r="OCI16" s="238">
        <f t="shared" ref="OCI16" si="5109">OCI11*0.0425</f>
        <v>0</v>
      </c>
      <c r="OCK16" s="238">
        <f t="shared" ref="OCK16" si="5110">OCK11*0.0425</f>
        <v>0</v>
      </c>
      <c r="OCM16" s="238">
        <f t="shared" ref="OCM16" si="5111">OCM11*0.0425</f>
        <v>0</v>
      </c>
      <c r="OCO16" s="238">
        <f t="shared" ref="OCO16" si="5112">OCO11*0.0425</f>
        <v>0</v>
      </c>
      <c r="OCQ16" s="238">
        <f t="shared" ref="OCQ16" si="5113">OCQ11*0.0425</f>
        <v>0</v>
      </c>
      <c r="OCS16" s="238">
        <f t="shared" ref="OCS16" si="5114">OCS11*0.0425</f>
        <v>0</v>
      </c>
      <c r="OCU16" s="238">
        <f t="shared" ref="OCU16" si="5115">OCU11*0.0425</f>
        <v>0</v>
      </c>
      <c r="OCW16" s="238">
        <f t="shared" ref="OCW16" si="5116">OCW11*0.0425</f>
        <v>0</v>
      </c>
      <c r="OCY16" s="238">
        <f t="shared" ref="OCY16" si="5117">OCY11*0.0425</f>
        <v>0</v>
      </c>
      <c r="ODA16" s="238">
        <f t="shared" ref="ODA16" si="5118">ODA11*0.0425</f>
        <v>0</v>
      </c>
      <c r="ODC16" s="238">
        <f t="shared" ref="ODC16" si="5119">ODC11*0.0425</f>
        <v>0</v>
      </c>
      <c r="ODE16" s="238">
        <f t="shared" ref="ODE16" si="5120">ODE11*0.0425</f>
        <v>0</v>
      </c>
      <c r="ODG16" s="238">
        <f t="shared" ref="ODG16" si="5121">ODG11*0.0425</f>
        <v>0</v>
      </c>
      <c r="ODI16" s="238">
        <f t="shared" ref="ODI16" si="5122">ODI11*0.0425</f>
        <v>0</v>
      </c>
      <c r="ODK16" s="238">
        <f t="shared" ref="ODK16" si="5123">ODK11*0.0425</f>
        <v>0</v>
      </c>
      <c r="ODM16" s="238">
        <f t="shared" ref="ODM16" si="5124">ODM11*0.0425</f>
        <v>0</v>
      </c>
      <c r="ODO16" s="238">
        <f t="shared" ref="ODO16" si="5125">ODO11*0.0425</f>
        <v>0</v>
      </c>
      <c r="ODQ16" s="238">
        <f t="shared" ref="ODQ16" si="5126">ODQ11*0.0425</f>
        <v>0</v>
      </c>
      <c r="ODS16" s="238">
        <f t="shared" ref="ODS16" si="5127">ODS11*0.0425</f>
        <v>0</v>
      </c>
      <c r="ODU16" s="238">
        <f t="shared" ref="ODU16" si="5128">ODU11*0.0425</f>
        <v>0</v>
      </c>
      <c r="ODW16" s="238">
        <f t="shared" ref="ODW16" si="5129">ODW11*0.0425</f>
        <v>0</v>
      </c>
      <c r="ODY16" s="238">
        <f t="shared" ref="ODY16" si="5130">ODY11*0.0425</f>
        <v>0</v>
      </c>
      <c r="OEA16" s="238">
        <f t="shared" ref="OEA16" si="5131">OEA11*0.0425</f>
        <v>0</v>
      </c>
      <c r="OEC16" s="238">
        <f t="shared" ref="OEC16" si="5132">OEC11*0.0425</f>
        <v>0</v>
      </c>
      <c r="OEE16" s="238">
        <f t="shared" ref="OEE16" si="5133">OEE11*0.0425</f>
        <v>0</v>
      </c>
      <c r="OEG16" s="238">
        <f t="shared" ref="OEG16" si="5134">OEG11*0.0425</f>
        <v>0</v>
      </c>
      <c r="OEI16" s="238">
        <f t="shared" ref="OEI16" si="5135">OEI11*0.0425</f>
        <v>0</v>
      </c>
      <c r="OEK16" s="238">
        <f t="shared" ref="OEK16" si="5136">OEK11*0.0425</f>
        <v>0</v>
      </c>
      <c r="OEM16" s="238">
        <f t="shared" ref="OEM16" si="5137">OEM11*0.0425</f>
        <v>0</v>
      </c>
      <c r="OEO16" s="238">
        <f t="shared" ref="OEO16" si="5138">OEO11*0.0425</f>
        <v>0</v>
      </c>
      <c r="OEQ16" s="238">
        <f t="shared" ref="OEQ16" si="5139">OEQ11*0.0425</f>
        <v>0</v>
      </c>
      <c r="OES16" s="238">
        <f t="shared" ref="OES16" si="5140">OES11*0.0425</f>
        <v>0</v>
      </c>
      <c r="OEU16" s="238">
        <f t="shared" ref="OEU16" si="5141">OEU11*0.0425</f>
        <v>0</v>
      </c>
      <c r="OEW16" s="238">
        <f t="shared" ref="OEW16" si="5142">OEW11*0.0425</f>
        <v>0</v>
      </c>
      <c r="OEY16" s="238">
        <f t="shared" ref="OEY16" si="5143">OEY11*0.0425</f>
        <v>0</v>
      </c>
      <c r="OFA16" s="238">
        <f t="shared" ref="OFA16" si="5144">OFA11*0.0425</f>
        <v>0</v>
      </c>
      <c r="OFC16" s="238">
        <f t="shared" ref="OFC16" si="5145">OFC11*0.0425</f>
        <v>0</v>
      </c>
      <c r="OFE16" s="238">
        <f t="shared" ref="OFE16" si="5146">OFE11*0.0425</f>
        <v>0</v>
      </c>
      <c r="OFG16" s="238">
        <f t="shared" ref="OFG16" si="5147">OFG11*0.0425</f>
        <v>0</v>
      </c>
      <c r="OFI16" s="238">
        <f t="shared" ref="OFI16" si="5148">OFI11*0.0425</f>
        <v>0</v>
      </c>
      <c r="OFK16" s="238">
        <f t="shared" ref="OFK16" si="5149">OFK11*0.0425</f>
        <v>0</v>
      </c>
      <c r="OFM16" s="238">
        <f t="shared" ref="OFM16" si="5150">OFM11*0.0425</f>
        <v>0</v>
      </c>
      <c r="OFO16" s="238">
        <f t="shared" ref="OFO16" si="5151">OFO11*0.0425</f>
        <v>0</v>
      </c>
      <c r="OFQ16" s="238">
        <f t="shared" ref="OFQ16" si="5152">OFQ11*0.0425</f>
        <v>0</v>
      </c>
      <c r="OFS16" s="238">
        <f t="shared" ref="OFS16" si="5153">OFS11*0.0425</f>
        <v>0</v>
      </c>
      <c r="OFU16" s="238">
        <f t="shared" ref="OFU16" si="5154">OFU11*0.0425</f>
        <v>0</v>
      </c>
      <c r="OFW16" s="238">
        <f t="shared" ref="OFW16" si="5155">OFW11*0.0425</f>
        <v>0</v>
      </c>
      <c r="OFY16" s="238">
        <f t="shared" ref="OFY16" si="5156">OFY11*0.0425</f>
        <v>0</v>
      </c>
      <c r="OGA16" s="238">
        <f t="shared" ref="OGA16" si="5157">OGA11*0.0425</f>
        <v>0</v>
      </c>
      <c r="OGC16" s="238">
        <f t="shared" ref="OGC16" si="5158">OGC11*0.0425</f>
        <v>0</v>
      </c>
      <c r="OGE16" s="238">
        <f t="shared" ref="OGE16" si="5159">OGE11*0.0425</f>
        <v>0</v>
      </c>
      <c r="OGG16" s="238">
        <f t="shared" ref="OGG16" si="5160">OGG11*0.0425</f>
        <v>0</v>
      </c>
      <c r="OGI16" s="238">
        <f t="shared" ref="OGI16" si="5161">OGI11*0.0425</f>
        <v>0</v>
      </c>
      <c r="OGK16" s="238">
        <f t="shared" ref="OGK16" si="5162">OGK11*0.0425</f>
        <v>0</v>
      </c>
      <c r="OGM16" s="238">
        <f t="shared" ref="OGM16" si="5163">OGM11*0.0425</f>
        <v>0</v>
      </c>
      <c r="OGO16" s="238">
        <f t="shared" ref="OGO16" si="5164">OGO11*0.0425</f>
        <v>0</v>
      </c>
      <c r="OGQ16" s="238">
        <f t="shared" ref="OGQ16" si="5165">OGQ11*0.0425</f>
        <v>0</v>
      </c>
      <c r="OGS16" s="238">
        <f t="shared" ref="OGS16" si="5166">OGS11*0.0425</f>
        <v>0</v>
      </c>
      <c r="OGU16" s="238">
        <f t="shared" ref="OGU16" si="5167">OGU11*0.0425</f>
        <v>0</v>
      </c>
      <c r="OGW16" s="238">
        <f t="shared" ref="OGW16" si="5168">OGW11*0.0425</f>
        <v>0</v>
      </c>
      <c r="OGY16" s="238">
        <f t="shared" ref="OGY16" si="5169">OGY11*0.0425</f>
        <v>0</v>
      </c>
      <c r="OHA16" s="238">
        <f t="shared" ref="OHA16" si="5170">OHA11*0.0425</f>
        <v>0</v>
      </c>
      <c r="OHC16" s="238">
        <f t="shared" ref="OHC16" si="5171">OHC11*0.0425</f>
        <v>0</v>
      </c>
      <c r="OHE16" s="238">
        <f t="shared" ref="OHE16" si="5172">OHE11*0.0425</f>
        <v>0</v>
      </c>
      <c r="OHG16" s="238">
        <f t="shared" ref="OHG16" si="5173">OHG11*0.0425</f>
        <v>0</v>
      </c>
      <c r="OHI16" s="238">
        <f t="shared" ref="OHI16" si="5174">OHI11*0.0425</f>
        <v>0</v>
      </c>
      <c r="OHK16" s="238">
        <f t="shared" ref="OHK16" si="5175">OHK11*0.0425</f>
        <v>0</v>
      </c>
      <c r="OHM16" s="238">
        <f t="shared" ref="OHM16" si="5176">OHM11*0.0425</f>
        <v>0</v>
      </c>
      <c r="OHO16" s="238">
        <f t="shared" ref="OHO16" si="5177">OHO11*0.0425</f>
        <v>0</v>
      </c>
      <c r="OHQ16" s="238">
        <f t="shared" ref="OHQ16" si="5178">OHQ11*0.0425</f>
        <v>0</v>
      </c>
      <c r="OHS16" s="238">
        <f t="shared" ref="OHS16" si="5179">OHS11*0.0425</f>
        <v>0</v>
      </c>
      <c r="OHU16" s="238">
        <f t="shared" ref="OHU16" si="5180">OHU11*0.0425</f>
        <v>0</v>
      </c>
      <c r="OHW16" s="238">
        <f t="shared" ref="OHW16" si="5181">OHW11*0.0425</f>
        <v>0</v>
      </c>
      <c r="OHY16" s="238">
        <f t="shared" ref="OHY16" si="5182">OHY11*0.0425</f>
        <v>0</v>
      </c>
      <c r="OIA16" s="238">
        <f t="shared" ref="OIA16" si="5183">OIA11*0.0425</f>
        <v>0</v>
      </c>
      <c r="OIC16" s="238">
        <f t="shared" ref="OIC16" si="5184">OIC11*0.0425</f>
        <v>0</v>
      </c>
      <c r="OIE16" s="238">
        <f t="shared" ref="OIE16" si="5185">OIE11*0.0425</f>
        <v>0</v>
      </c>
      <c r="OIG16" s="238">
        <f t="shared" ref="OIG16" si="5186">OIG11*0.0425</f>
        <v>0</v>
      </c>
      <c r="OII16" s="238">
        <f t="shared" ref="OII16" si="5187">OII11*0.0425</f>
        <v>0</v>
      </c>
      <c r="OIK16" s="238">
        <f t="shared" ref="OIK16" si="5188">OIK11*0.0425</f>
        <v>0</v>
      </c>
      <c r="OIM16" s="238">
        <f t="shared" ref="OIM16" si="5189">OIM11*0.0425</f>
        <v>0</v>
      </c>
      <c r="OIO16" s="238">
        <f t="shared" ref="OIO16" si="5190">OIO11*0.0425</f>
        <v>0</v>
      </c>
      <c r="OIQ16" s="238">
        <f t="shared" ref="OIQ16" si="5191">OIQ11*0.0425</f>
        <v>0</v>
      </c>
      <c r="OIS16" s="238">
        <f t="shared" ref="OIS16" si="5192">OIS11*0.0425</f>
        <v>0</v>
      </c>
      <c r="OIU16" s="238">
        <f t="shared" ref="OIU16" si="5193">OIU11*0.0425</f>
        <v>0</v>
      </c>
      <c r="OIW16" s="238">
        <f t="shared" ref="OIW16" si="5194">OIW11*0.0425</f>
        <v>0</v>
      </c>
      <c r="OIY16" s="238">
        <f t="shared" ref="OIY16" si="5195">OIY11*0.0425</f>
        <v>0</v>
      </c>
      <c r="OJA16" s="238">
        <f t="shared" ref="OJA16" si="5196">OJA11*0.0425</f>
        <v>0</v>
      </c>
      <c r="OJC16" s="238">
        <f t="shared" ref="OJC16" si="5197">OJC11*0.0425</f>
        <v>0</v>
      </c>
      <c r="OJE16" s="238">
        <f t="shared" ref="OJE16" si="5198">OJE11*0.0425</f>
        <v>0</v>
      </c>
      <c r="OJG16" s="238">
        <f t="shared" ref="OJG16" si="5199">OJG11*0.0425</f>
        <v>0</v>
      </c>
      <c r="OJI16" s="238">
        <f t="shared" ref="OJI16" si="5200">OJI11*0.0425</f>
        <v>0</v>
      </c>
      <c r="OJK16" s="238">
        <f t="shared" ref="OJK16" si="5201">OJK11*0.0425</f>
        <v>0</v>
      </c>
      <c r="OJM16" s="238">
        <f t="shared" ref="OJM16" si="5202">OJM11*0.0425</f>
        <v>0</v>
      </c>
      <c r="OJO16" s="238">
        <f t="shared" ref="OJO16" si="5203">OJO11*0.0425</f>
        <v>0</v>
      </c>
      <c r="OJQ16" s="238">
        <f t="shared" ref="OJQ16" si="5204">OJQ11*0.0425</f>
        <v>0</v>
      </c>
      <c r="OJS16" s="238">
        <f t="shared" ref="OJS16" si="5205">OJS11*0.0425</f>
        <v>0</v>
      </c>
      <c r="OJU16" s="238">
        <f t="shared" ref="OJU16" si="5206">OJU11*0.0425</f>
        <v>0</v>
      </c>
      <c r="OJW16" s="238">
        <f t="shared" ref="OJW16" si="5207">OJW11*0.0425</f>
        <v>0</v>
      </c>
      <c r="OJY16" s="238">
        <f t="shared" ref="OJY16" si="5208">OJY11*0.0425</f>
        <v>0</v>
      </c>
      <c r="OKA16" s="238">
        <f t="shared" ref="OKA16" si="5209">OKA11*0.0425</f>
        <v>0</v>
      </c>
      <c r="OKC16" s="238">
        <f t="shared" ref="OKC16" si="5210">OKC11*0.0425</f>
        <v>0</v>
      </c>
      <c r="OKE16" s="238">
        <f t="shared" ref="OKE16" si="5211">OKE11*0.0425</f>
        <v>0</v>
      </c>
      <c r="OKG16" s="238">
        <f t="shared" ref="OKG16" si="5212">OKG11*0.0425</f>
        <v>0</v>
      </c>
      <c r="OKI16" s="238">
        <f t="shared" ref="OKI16" si="5213">OKI11*0.0425</f>
        <v>0</v>
      </c>
      <c r="OKK16" s="238">
        <f t="shared" ref="OKK16" si="5214">OKK11*0.0425</f>
        <v>0</v>
      </c>
      <c r="OKM16" s="238">
        <f t="shared" ref="OKM16" si="5215">OKM11*0.0425</f>
        <v>0</v>
      </c>
      <c r="OKO16" s="238">
        <f t="shared" ref="OKO16" si="5216">OKO11*0.0425</f>
        <v>0</v>
      </c>
      <c r="OKQ16" s="238">
        <f t="shared" ref="OKQ16" si="5217">OKQ11*0.0425</f>
        <v>0</v>
      </c>
      <c r="OKS16" s="238">
        <f t="shared" ref="OKS16" si="5218">OKS11*0.0425</f>
        <v>0</v>
      </c>
      <c r="OKU16" s="238">
        <f t="shared" ref="OKU16" si="5219">OKU11*0.0425</f>
        <v>0</v>
      </c>
      <c r="OKW16" s="238">
        <f t="shared" ref="OKW16" si="5220">OKW11*0.0425</f>
        <v>0</v>
      </c>
      <c r="OKY16" s="238">
        <f t="shared" ref="OKY16" si="5221">OKY11*0.0425</f>
        <v>0</v>
      </c>
      <c r="OLA16" s="238">
        <f t="shared" ref="OLA16" si="5222">OLA11*0.0425</f>
        <v>0</v>
      </c>
      <c r="OLC16" s="238">
        <f t="shared" ref="OLC16" si="5223">OLC11*0.0425</f>
        <v>0</v>
      </c>
      <c r="OLE16" s="238">
        <f t="shared" ref="OLE16" si="5224">OLE11*0.0425</f>
        <v>0</v>
      </c>
      <c r="OLG16" s="238">
        <f t="shared" ref="OLG16" si="5225">OLG11*0.0425</f>
        <v>0</v>
      </c>
      <c r="OLI16" s="238">
        <f t="shared" ref="OLI16" si="5226">OLI11*0.0425</f>
        <v>0</v>
      </c>
      <c r="OLK16" s="238">
        <f t="shared" ref="OLK16" si="5227">OLK11*0.0425</f>
        <v>0</v>
      </c>
      <c r="OLM16" s="238">
        <f t="shared" ref="OLM16" si="5228">OLM11*0.0425</f>
        <v>0</v>
      </c>
      <c r="OLO16" s="238">
        <f t="shared" ref="OLO16" si="5229">OLO11*0.0425</f>
        <v>0</v>
      </c>
      <c r="OLQ16" s="238">
        <f t="shared" ref="OLQ16" si="5230">OLQ11*0.0425</f>
        <v>0</v>
      </c>
      <c r="OLS16" s="238">
        <f t="shared" ref="OLS16" si="5231">OLS11*0.0425</f>
        <v>0</v>
      </c>
      <c r="OLU16" s="238">
        <f t="shared" ref="OLU16" si="5232">OLU11*0.0425</f>
        <v>0</v>
      </c>
      <c r="OLW16" s="238">
        <f t="shared" ref="OLW16" si="5233">OLW11*0.0425</f>
        <v>0</v>
      </c>
      <c r="OLY16" s="238">
        <f t="shared" ref="OLY16" si="5234">OLY11*0.0425</f>
        <v>0</v>
      </c>
      <c r="OMA16" s="238">
        <f t="shared" ref="OMA16" si="5235">OMA11*0.0425</f>
        <v>0</v>
      </c>
      <c r="OMC16" s="238">
        <f t="shared" ref="OMC16" si="5236">OMC11*0.0425</f>
        <v>0</v>
      </c>
      <c r="OME16" s="238">
        <f t="shared" ref="OME16" si="5237">OME11*0.0425</f>
        <v>0</v>
      </c>
      <c r="OMG16" s="238">
        <f t="shared" ref="OMG16" si="5238">OMG11*0.0425</f>
        <v>0</v>
      </c>
      <c r="OMI16" s="238">
        <f t="shared" ref="OMI16" si="5239">OMI11*0.0425</f>
        <v>0</v>
      </c>
      <c r="OMK16" s="238">
        <f t="shared" ref="OMK16" si="5240">OMK11*0.0425</f>
        <v>0</v>
      </c>
      <c r="OMM16" s="238">
        <f t="shared" ref="OMM16" si="5241">OMM11*0.0425</f>
        <v>0</v>
      </c>
      <c r="OMO16" s="238">
        <f t="shared" ref="OMO16" si="5242">OMO11*0.0425</f>
        <v>0</v>
      </c>
      <c r="OMQ16" s="238">
        <f t="shared" ref="OMQ16" si="5243">OMQ11*0.0425</f>
        <v>0</v>
      </c>
      <c r="OMS16" s="238">
        <f t="shared" ref="OMS16" si="5244">OMS11*0.0425</f>
        <v>0</v>
      </c>
      <c r="OMU16" s="238">
        <f t="shared" ref="OMU16" si="5245">OMU11*0.0425</f>
        <v>0</v>
      </c>
      <c r="OMW16" s="238">
        <f t="shared" ref="OMW16" si="5246">OMW11*0.0425</f>
        <v>0</v>
      </c>
      <c r="OMY16" s="238">
        <f t="shared" ref="OMY16" si="5247">OMY11*0.0425</f>
        <v>0</v>
      </c>
      <c r="ONA16" s="238">
        <f t="shared" ref="ONA16" si="5248">ONA11*0.0425</f>
        <v>0</v>
      </c>
      <c r="ONC16" s="238">
        <f t="shared" ref="ONC16" si="5249">ONC11*0.0425</f>
        <v>0</v>
      </c>
      <c r="ONE16" s="238">
        <f t="shared" ref="ONE16" si="5250">ONE11*0.0425</f>
        <v>0</v>
      </c>
      <c r="ONG16" s="238">
        <f t="shared" ref="ONG16" si="5251">ONG11*0.0425</f>
        <v>0</v>
      </c>
      <c r="ONI16" s="238">
        <f t="shared" ref="ONI16" si="5252">ONI11*0.0425</f>
        <v>0</v>
      </c>
      <c r="ONK16" s="238">
        <f t="shared" ref="ONK16" si="5253">ONK11*0.0425</f>
        <v>0</v>
      </c>
      <c r="ONM16" s="238">
        <f t="shared" ref="ONM16" si="5254">ONM11*0.0425</f>
        <v>0</v>
      </c>
      <c r="ONO16" s="238">
        <f t="shared" ref="ONO16" si="5255">ONO11*0.0425</f>
        <v>0</v>
      </c>
      <c r="ONQ16" s="238">
        <f t="shared" ref="ONQ16" si="5256">ONQ11*0.0425</f>
        <v>0</v>
      </c>
      <c r="ONS16" s="238">
        <f t="shared" ref="ONS16" si="5257">ONS11*0.0425</f>
        <v>0</v>
      </c>
      <c r="ONU16" s="238">
        <f t="shared" ref="ONU16" si="5258">ONU11*0.0425</f>
        <v>0</v>
      </c>
      <c r="ONW16" s="238">
        <f t="shared" ref="ONW16" si="5259">ONW11*0.0425</f>
        <v>0</v>
      </c>
      <c r="ONY16" s="238">
        <f t="shared" ref="ONY16" si="5260">ONY11*0.0425</f>
        <v>0</v>
      </c>
      <c r="OOA16" s="238">
        <f t="shared" ref="OOA16" si="5261">OOA11*0.0425</f>
        <v>0</v>
      </c>
      <c r="OOC16" s="238">
        <f t="shared" ref="OOC16" si="5262">OOC11*0.0425</f>
        <v>0</v>
      </c>
      <c r="OOE16" s="238">
        <f t="shared" ref="OOE16" si="5263">OOE11*0.0425</f>
        <v>0</v>
      </c>
      <c r="OOG16" s="238">
        <f t="shared" ref="OOG16" si="5264">OOG11*0.0425</f>
        <v>0</v>
      </c>
      <c r="OOI16" s="238">
        <f t="shared" ref="OOI16" si="5265">OOI11*0.0425</f>
        <v>0</v>
      </c>
      <c r="OOK16" s="238">
        <f t="shared" ref="OOK16" si="5266">OOK11*0.0425</f>
        <v>0</v>
      </c>
      <c r="OOM16" s="238">
        <f t="shared" ref="OOM16" si="5267">OOM11*0.0425</f>
        <v>0</v>
      </c>
      <c r="OOO16" s="238">
        <f t="shared" ref="OOO16" si="5268">OOO11*0.0425</f>
        <v>0</v>
      </c>
      <c r="OOQ16" s="238">
        <f t="shared" ref="OOQ16" si="5269">OOQ11*0.0425</f>
        <v>0</v>
      </c>
      <c r="OOS16" s="238">
        <f t="shared" ref="OOS16" si="5270">OOS11*0.0425</f>
        <v>0</v>
      </c>
      <c r="OOU16" s="238">
        <f t="shared" ref="OOU16" si="5271">OOU11*0.0425</f>
        <v>0</v>
      </c>
      <c r="OOW16" s="238">
        <f t="shared" ref="OOW16" si="5272">OOW11*0.0425</f>
        <v>0</v>
      </c>
      <c r="OOY16" s="238">
        <f t="shared" ref="OOY16" si="5273">OOY11*0.0425</f>
        <v>0</v>
      </c>
      <c r="OPA16" s="238">
        <f t="shared" ref="OPA16" si="5274">OPA11*0.0425</f>
        <v>0</v>
      </c>
      <c r="OPC16" s="238">
        <f t="shared" ref="OPC16" si="5275">OPC11*0.0425</f>
        <v>0</v>
      </c>
      <c r="OPE16" s="238">
        <f t="shared" ref="OPE16" si="5276">OPE11*0.0425</f>
        <v>0</v>
      </c>
      <c r="OPG16" s="238">
        <f t="shared" ref="OPG16" si="5277">OPG11*0.0425</f>
        <v>0</v>
      </c>
      <c r="OPI16" s="238">
        <f t="shared" ref="OPI16" si="5278">OPI11*0.0425</f>
        <v>0</v>
      </c>
      <c r="OPK16" s="238">
        <f t="shared" ref="OPK16" si="5279">OPK11*0.0425</f>
        <v>0</v>
      </c>
      <c r="OPM16" s="238">
        <f t="shared" ref="OPM16" si="5280">OPM11*0.0425</f>
        <v>0</v>
      </c>
      <c r="OPO16" s="238">
        <f t="shared" ref="OPO16" si="5281">OPO11*0.0425</f>
        <v>0</v>
      </c>
      <c r="OPQ16" s="238">
        <f t="shared" ref="OPQ16" si="5282">OPQ11*0.0425</f>
        <v>0</v>
      </c>
      <c r="OPS16" s="238">
        <f t="shared" ref="OPS16" si="5283">OPS11*0.0425</f>
        <v>0</v>
      </c>
      <c r="OPU16" s="238">
        <f t="shared" ref="OPU16" si="5284">OPU11*0.0425</f>
        <v>0</v>
      </c>
      <c r="OPW16" s="238">
        <f t="shared" ref="OPW16" si="5285">OPW11*0.0425</f>
        <v>0</v>
      </c>
      <c r="OPY16" s="238">
        <f t="shared" ref="OPY16" si="5286">OPY11*0.0425</f>
        <v>0</v>
      </c>
      <c r="OQA16" s="238">
        <f t="shared" ref="OQA16" si="5287">OQA11*0.0425</f>
        <v>0</v>
      </c>
      <c r="OQC16" s="238">
        <f t="shared" ref="OQC16" si="5288">OQC11*0.0425</f>
        <v>0</v>
      </c>
      <c r="OQE16" s="238">
        <f t="shared" ref="OQE16" si="5289">OQE11*0.0425</f>
        <v>0</v>
      </c>
      <c r="OQG16" s="238">
        <f t="shared" ref="OQG16" si="5290">OQG11*0.0425</f>
        <v>0</v>
      </c>
      <c r="OQI16" s="238">
        <f t="shared" ref="OQI16" si="5291">OQI11*0.0425</f>
        <v>0</v>
      </c>
      <c r="OQK16" s="238">
        <f t="shared" ref="OQK16" si="5292">OQK11*0.0425</f>
        <v>0</v>
      </c>
      <c r="OQM16" s="238">
        <f t="shared" ref="OQM16" si="5293">OQM11*0.0425</f>
        <v>0</v>
      </c>
      <c r="OQO16" s="238">
        <f t="shared" ref="OQO16" si="5294">OQO11*0.0425</f>
        <v>0</v>
      </c>
      <c r="OQQ16" s="238">
        <f t="shared" ref="OQQ16" si="5295">OQQ11*0.0425</f>
        <v>0</v>
      </c>
      <c r="OQS16" s="238">
        <f t="shared" ref="OQS16" si="5296">OQS11*0.0425</f>
        <v>0</v>
      </c>
      <c r="OQU16" s="238">
        <f t="shared" ref="OQU16" si="5297">OQU11*0.0425</f>
        <v>0</v>
      </c>
      <c r="OQW16" s="238">
        <f t="shared" ref="OQW16" si="5298">OQW11*0.0425</f>
        <v>0</v>
      </c>
      <c r="OQY16" s="238">
        <f t="shared" ref="OQY16" si="5299">OQY11*0.0425</f>
        <v>0</v>
      </c>
      <c r="ORA16" s="238">
        <f t="shared" ref="ORA16" si="5300">ORA11*0.0425</f>
        <v>0</v>
      </c>
      <c r="ORC16" s="238">
        <f t="shared" ref="ORC16" si="5301">ORC11*0.0425</f>
        <v>0</v>
      </c>
      <c r="ORE16" s="238">
        <f t="shared" ref="ORE16" si="5302">ORE11*0.0425</f>
        <v>0</v>
      </c>
      <c r="ORG16" s="238">
        <f t="shared" ref="ORG16" si="5303">ORG11*0.0425</f>
        <v>0</v>
      </c>
      <c r="ORI16" s="238">
        <f t="shared" ref="ORI16" si="5304">ORI11*0.0425</f>
        <v>0</v>
      </c>
      <c r="ORK16" s="238">
        <f t="shared" ref="ORK16" si="5305">ORK11*0.0425</f>
        <v>0</v>
      </c>
      <c r="ORM16" s="238">
        <f t="shared" ref="ORM16" si="5306">ORM11*0.0425</f>
        <v>0</v>
      </c>
      <c r="ORO16" s="238">
        <f t="shared" ref="ORO16" si="5307">ORO11*0.0425</f>
        <v>0</v>
      </c>
      <c r="ORQ16" s="238">
        <f t="shared" ref="ORQ16" si="5308">ORQ11*0.0425</f>
        <v>0</v>
      </c>
      <c r="ORS16" s="238">
        <f t="shared" ref="ORS16" si="5309">ORS11*0.0425</f>
        <v>0</v>
      </c>
      <c r="ORU16" s="238">
        <f t="shared" ref="ORU16" si="5310">ORU11*0.0425</f>
        <v>0</v>
      </c>
      <c r="ORW16" s="238">
        <f t="shared" ref="ORW16" si="5311">ORW11*0.0425</f>
        <v>0</v>
      </c>
      <c r="ORY16" s="238">
        <f t="shared" ref="ORY16" si="5312">ORY11*0.0425</f>
        <v>0</v>
      </c>
      <c r="OSA16" s="238">
        <f t="shared" ref="OSA16" si="5313">OSA11*0.0425</f>
        <v>0</v>
      </c>
      <c r="OSC16" s="238">
        <f t="shared" ref="OSC16" si="5314">OSC11*0.0425</f>
        <v>0</v>
      </c>
      <c r="OSE16" s="238">
        <f t="shared" ref="OSE16" si="5315">OSE11*0.0425</f>
        <v>0</v>
      </c>
      <c r="OSG16" s="238">
        <f t="shared" ref="OSG16" si="5316">OSG11*0.0425</f>
        <v>0</v>
      </c>
      <c r="OSI16" s="238">
        <f t="shared" ref="OSI16" si="5317">OSI11*0.0425</f>
        <v>0</v>
      </c>
      <c r="OSK16" s="238">
        <f t="shared" ref="OSK16" si="5318">OSK11*0.0425</f>
        <v>0</v>
      </c>
      <c r="OSM16" s="238">
        <f t="shared" ref="OSM16" si="5319">OSM11*0.0425</f>
        <v>0</v>
      </c>
      <c r="OSO16" s="238">
        <f t="shared" ref="OSO16" si="5320">OSO11*0.0425</f>
        <v>0</v>
      </c>
      <c r="OSQ16" s="238">
        <f t="shared" ref="OSQ16" si="5321">OSQ11*0.0425</f>
        <v>0</v>
      </c>
      <c r="OSS16" s="238">
        <f t="shared" ref="OSS16" si="5322">OSS11*0.0425</f>
        <v>0</v>
      </c>
      <c r="OSU16" s="238">
        <f t="shared" ref="OSU16" si="5323">OSU11*0.0425</f>
        <v>0</v>
      </c>
      <c r="OSW16" s="238">
        <f t="shared" ref="OSW16" si="5324">OSW11*0.0425</f>
        <v>0</v>
      </c>
      <c r="OSY16" s="238">
        <f t="shared" ref="OSY16" si="5325">OSY11*0.0425</f>
        <v>0</v>
      </c>
      <c r="OTA16" s="238">
        <f t="shared" ref="OTA16" si="5326">OTA11*0.0425</f>
        <v>0</v>
      </c>
      <c r="OTC16" s="238">
        <f t="shared" ref="OTC16" si="5327">OTC11*0.0425</f>
        <v>0</v>
      </c>
      <c r="OTE16" s="238">
        <f t="shared" ref="OTE16" si="5328">OTE11*0.0425</f>
        <v>0</v>
      </c>
      <c r="OTG16" s="238">
        <f t="shared" ref="OTG16" si="5329">OTG11*0.0425</f>
        <v>0</v>
      </c>
      <c r="OTI16" s="238">
        <f t="shared" ref="OTI16" si="5330">OTI11*0.0425</f>
        <v>0</v>
      </c>
      <c r="OTK16" s="238">
        <f t="shared" ref="OTK16" si="5331">OTK11*0.0425</f>
        <v>0</v>
      </c>
      <c r="OTM16" s="238">
        <f t="shared" ref="OTM16" si="5332">OTM11*0.0425</f>
        <v>0</v>
      </c>
      <c r="OTO16" s="238">
        <f t="shared" ref="OTO16" si="5333">OTO11*0.0425</f>
        <v>0</v>
      </c>
      <c r="OTQ16" s="238">
        <f t="shared" ref="OTQ16" si="5334">OTQ11*0.0425</f>
        <v>0</v>
      </c>
      <c r="OTS16" s="238">
        <f t="shared" ref="OTS16" si="5335">OTS11*0.0425</f>
        <v>0</v>
      </c>
      <c r="OTU16" s="238">
        <f t="shared" ref="OTU16" si="5336">OTU11*0.0425</f>
        <v>0</v>
      </c>
      <c r="OTW16" s="238">
        <f t="shared" ref="OTW16" si="5337">OTW11*0.0425</f>
        <v>0</v>
      </c>
      <c r="OTY16" s="238">
        <f t="shared" ref="OTY16" si="5338">OTY11*0.0425</f>
        <v>0</v>
      </c>
      <c r="OUA16" s="238">
        <f t="shared" ref="OUA16" si="5339">OUA11*0.0425</f>
        <v>0</v>
      </c>
      <c r="OUC16" s="238">
        <f t="shared" ref="OUC16" si="5340">OUC11*0.0425</f>
        <v>0</v>
      </c>
      <c r="OUE16" s="238">
        <f t="shared" ref="OUE16" si="5341">OUE11*0.0425</f>
        <v>0</v>
      </c>
      <c r="OUG16" s="238">
        <f t="shared" ref="OUG16" si="5342">OUG11*0.0425</f>
        <v>0</v>
      </c>
      <c r="OUI16" s="238">
        <f t="shared" ref="OUI16" si="5343">OUI11*0.0425</f>
        <v>0</v>
      </c>
      <c r="OUK16" s="238">
        <f t="shared" ref="OUK16" si="5344">OUK11*0.0425</f>
        <v>0</v>
      </c>
      <c r="OUM16" s="238">
        <f t="shared" ref="OUM16" si="5345">OUM11*0.0425</f>
        <v>0</v>
      </c>
      <c r="OUO16" s="238">
        <f t="shared" ref="OUO16" si="5346">OUO11*0.0425</f>
        <v>0</v>
      </c>
      <c r="OUQ16" s="238">
        <f t="shared" ref="OUQ16" si="5347">OUQ11*0.0425</f>
        <v>0</v>
      </c>
      <c r="OUS16" s="238">
        <f t="shared" ref="OUS16" si="5348">OUS11*0.0425</f>
        <v>0</v>
      </c>
      <c r="OUU16" s="238">
        <f t="shared" ref="OUU16" si="5349">OUU11*0.0425</f>
        <v>0</v>
      </c>
      <c r="OUW16" s="238">
        <f t="shared" ref="OUW16" si="5350">OUW11*0.0425</f>
        <v>0</v>
      </c>
      <c r="OUY16" s="238">
        <f t="shared" ref="OUY16" si="5351">OUY11*0.0425</f>
        <v>0</v>
      </c>
      <c r="OVA16" s="238">
        <f t="shared" ref="OVA16" si="5352">OVA11*0.0425</f>
        <v>0</v>
      </c>
      <c r="OVC16" s="238">
        <f t="shared" ref="OVC16" si="5353">OVC11*0.0425</f>
        <v>0</v>
      </c>
      <c r="OVE16" s="238">
        <f t="shared" ref="OVE16" si="5354">OVE11*0.0425</f>
        <v>0</v>
      </c>
      <c r="OVG16" s="238">
        <f t="shared" ref="OVG16" si="5355">OVG11*0.0425</f>
        <v>0</v>
      </c>
      <c r="OVI16" s="238">
        <f t="shared" ref="OVI16" si="5356">OVI11*0.0425</f>
        <v>0</v>
      </c>
      <c r="OVK16" s="238">
        <f t="shared" ref="OVK16" si="5357">OVK11*0.0425</f>
        <v>0</v>
      </c>
      <c r="OVM16" s="238">
        <f t="shared" ref="OVM16" si="5358">OVM11*0.0425</f>
        <v>0</v>
      </c>
      <c r="OVO16" s="238">
        <f t="shared" ref="OVO16" si="5359">OVO11*0.0425</f>
        <v>0</v>
      </c>
      <c r="OVQ16" s="238">
        <f t="shared" ref="OVQ16" si="5360">OVQ11*0.0425</f>
        <v>0</v>
      </c>
      <c r="OVS16" s="238">
        <f t="shared" ref="OVS16" si="5361">OVS11*0.0425</f>
        <v>0</v>
      </c>
      <c r="OVU16" s="238">
        <f t="shared" ref="OVU16" si="5362">OVU11*0.0425</f>
        <v>0</v>
      </c>
      <c r="OVW16" s="238">
        <f t="shared" ref="OVW16" si="5363">OVW11*0.0425</f>
        <v>0</v>
      </c>
      <c r="OVY16" s="238">
        <f t="shared" ref="OVY16" si="5364">OVY11*0.0425</f>
        <v>0</v>
      </c>
      <c r="OWA16" s="238">
        <f t="shared" ref="OWA16" si="5365">OWA11*0.0425</f>
        <v>0</v>
      </c>
      <c r="OWC16" s="238">
        <f t="shared" ref="OWC16" si="5366">OWC11*0.0425</f>
        <v>0</v>
      </c>
      <c r="OWE16" s="238">
        <f t="shared" ref="OWE16" si="5367">OWE11*0.0425</f>
        <v>0</v>
      </c>
      <c r="OWG16" s="238">
        <f t="shared" ref="OWG16" si="5368">OWG11*0.0425</f>
        <v>0</v>
      </c>
      <c r="OWI16" s="238">
        <f t="shared" ref="OWI16" si="5369">OWI11*0.0425</f>
        <v>0</v>
      </c>
      <c r="OWK16" s="238">
        <f t="shared" ref="OWK16" si="5370">OWK11*0.0425</f>
        <v>0</v>
      </c>
      <c r="OWM16" s="238">
        <f t="shared" ref="OWM16" si="5371">OWM11*0.0425</f>
        <v>0</v>
      </c>
      <c r="OWO16" s="238">
        <f t="shared" ref="OWO16" si="5372">OWO11*0.0425</f>
        <v>0</v>
      </c>
      <c r="OWQ16" s="238">
        <f t="shared" ref="OWQ16" si="5373">OWQ11*0.0425</f>
        <v>0</v>
      </c>
      <c r="OWS16" s="238">
        <f t="shared" ref="OWS16" si="5374">OWS11*0.0425</f>
        <v>0</v>
      </c>
      <c r="OWU16" s="238">
        <f t="shared" ref="OWU16" si="5375">OWU11*0.0425</f>
        <v>0</v>
      </c>
      <c r="OWW16" s="238">
        <f t="shared" ref="OWW16" si="5376">OWW11*0.0425</f>
        <v>0</v>
      </c>
      <c r="OWY16" s="238">
        <f t="shared" ref="OWY16" si="5377">OWY11*0.0425</f>
        <v>0</v>
      </c>
      <c r="OXA16" s="238">
        <f t="shared" ref="OXA16" si="5378">OXA11*0.0425</f>
        <v>0</v>
      </c>
      <c r="OXC16" s="238">
        <f t="shared" ref="OXC16" si="5379">OXC11*0.0425</f>
        <v>0</v>
      </c>
      <c r="OXE16" s="238">
        <f t="shared" ref="OXE16" si="5380">OXE11*0.0425</f>
        <v>0</v>
      </c>
      <c r="OXG16" s="238">
        <f t="shared" ref="OXG16" si="5381">OXG11*0.0425</f>
        <v>0</v>
      </c>
      <c r="OXI16" s="238">
        <f t="shared" ref="OXI16" si="5382">OXI11*0.0425</f>
        <v>0</v>
      </c>
      <c r="OXK16" s="238">
        <f t="shared" ref="OXK16" si="5383">OXK11*0.0425</f>
        <v>0</v>
      </c>
      <c r="OXM16" s="238">
        <f t="shared" ref="OXM16" si="5384">OXM11*0.0425</f>
        <v>0</v>
      </c>
      <c r="OXO16" s="238">
        <f t="shared" ref="OXO16" si="5385">OXO11*0.0425</f>
        <v>0</v>
      </c>
      <c r="OXQ16" s="238">
        <f t="shared" ref="OXQ16" si="5386">OXQ11*0.0425</f>
        <v>0</v>
      </c>
      <c r="OXS16" s="238">
        <f t="shared" ref="OXS16" si="5387">OXS11*0.0425</f>
        <v>0</v>
      </c>
      <c r="OXU16" s="238">
        <f t="shared" ref="OXU16" si="5388">OXU11*0.0425</f>
        <v>0</v>
      </c>
      <c r="OXW16" s="238">
        <f t="shared" ref="OXW16" si="5389">OXW11*0.0425</f>
        <v>0</v>
      </c>
      <c r="OXY16" s="238">
        <f t="shared" ref="OXY16" si="5390">OXY11*0.0425</f>
        <v>0</v>
      </c>
      <c r="OYA16" s="238">
        <f t="shared" ref="OYA16" si="5391">OYA11*0.0425</f>
        <v>0</v>
      </c>
      <c r="OYC16" s="238">
        <f t="shared" ref="OYC16" si="5392">OYC11*0.0425</f>
        <v>0</v>
      </c>
      <c r="OYE16" s="238">
        <f t="shared" ref="OYE16" si="5393">OYE11*0.0425</f>
        <v>0</v>
      </c>
      <c r="OYG16" s="238">
        <f t="shared" ref="OYG16" si="5394">OYG11*0.0425</f>
        <v>0</v>
      </c>
      <c r="OYI16" s="238">
        <f t="shared" ref="OYI16" si="5395">OYI11*0.0425</f>
        <v>0</v>
      </c>
      <c r="OYK16" s="238">
        <f t="shared" ref="OYK16" si="5396">OYK11*0.0425</f>
        <v>0</v>
      </c>
      <c r="OYM16" s="238">
        <f t="shared" ref="OYM16" si="5397">OYM11*0.0425</f>
        <v>0</v>
      </c>
      <c r="OYO16" s="238">
        <f t="shared" ref="OYO16" si="5398">OYO11*0.0425</f>
        <v>0</v>
      </c>
      <c r="OYQ16" s="238">
        <f t="shared" ref="OYQ16" si="5399">OYQ11*0.0425</f>
        <v>0</v>
      </c>
      <c r="OYS16" s="238">
        <f t="shared" ref="OYS16" si="5400">OYS11*0.0425</f>
        <v>0</v>
      </c>
      <c r="OYU16" s="238">
        <f t="shared" ref="OYU16" si="5401">OYU11*0.0425</f>
        <v>0</v>
      </c>
      <c r="OYW16" s="238">
        <f t="shared" ref="OYW16" si="5402">OYW11*0.0425</f>
        <v>0</v>
      </c>
      <c r="OYY16" s="238">
        <f t="shared" ref="OYY16" si="5403">OYY11*0.0425</f>
        <v>0</v>
      </c>
      <c r="OZA16" s="238">
        <f t="shared" ref="OZA16" si="5404">OZA11*0.0425</f>
        <v>0</v>
      </c>
      <c r="OZC16" s="238">
        <f t="shared" ref="OZC16" si="5405">OZC11*0.0425</f>
        <v>0</v>
      </c>
      <c r="OZE16" s="238">
        <f t="shared" ref="OZE16" si="5406">OZE11*0.0425</f>
        <v>0</v>
      </c>
      <c r="OZG16" s="238">
        <f t="shared" ref="OZG16" si="5407">OZG11*0.0425</f>
        <v>0</v>
      </c>
      <c r="OZI16" s="238">
        <f t="shared" ref="OZI16" si="5408">OZI11*0.0425</f>
        <v>0</v>
      </c>
      <c r="OZK16" s="238">
        <f t="shared" ref="OZK16" si="5409">OZK11*0.0425</f>
        <v>0</v>
      </c>
      <c r="OZM16" s="238">
        <f t="shared" ref="OZM16" si="5410">OZM11*0.0425</f>
        <v>0</v>
      </c>
      <c r="OZO16" s="238">
        <f t="shared" ref="OZO16" si="5411">OZO11*0.0425</f>
        <v>0</v>
      </c>
      <c r="OZQ16" s="238">
        <f t="shared" ref="OZQ16" si="5412">OZQ11*0.0425</f>
        <v>0</v>
      </c>
      <c r="OZS16" s="238">
        <f t="shared" ref="OZS16" si="5413">OZS11*0.0425</f>
        <v>0</v>
      </c>
      <c r="OZU16" s="238">
        <f t="shared" ref="OZU16" si="5414">OZU11*0.0425</f>
        <v>0</v>
      </c>
      <c r="OZW16" s="238">
        <f t="shared" ref="OZW16" si="5415">OZW11*0.0425</f>
        <v>0</v>
      </c>
      <c r="OZY16" s="238">
        <f t="shared" ref="OZY16" si="5416">OZY11*0.0425</f>
        <v>0</v>
      </c>
      <c r="PAA16" s="238">
        <f t="shared" ref="PAA16" si="5417">PAA11*0.0425</f>
        <v>0</v>
      </c>
      <c r="PAC16" s="238">
        <f t="shared" ref="PAC16" si="5418">PAC11*0.0425</f>
        <v>0</v>
      </c>
      <c r="PAE16" s="238">
        <f t="shared" ref="PAE16" si="5419">PAE11*0.0425</f>
        <v>0</v>
      </c>
      <c r="PAG16" s="238">
        <f t="shared" ref="PAG16" si="5420">PAG11*0.0425</f>
        <v>0</v>
      </c>
      <c r="PAI16" s="238">
        <f t="shared" ref="PAI16" si="5421">PAI11*0.0425</f>
        <v>0</v>
      </c>
      <c r="PAK16" s="238">
        <f t="shared" ref="PAK16" si="5422">PAK11*0.0425</f>
        <v>0</v>
      </c>
      <c r="PAM16" s="238">
        <f t="shared" ref="PAM16" si="5423">PAM11*0.0425</f>
        <v>0</v>
      </c>
      <c r="PAO16" s="238">
        <f t="shared" ref="PAO16" si="5424">PAO11*0.0425</f>
        <v>0</v>
      </c>
      <c r="PAQ16" s="238">
        <f t="shared" ref="PAQ16" si="5425">PAQ11*0.0425</f>
        <v>0</v>
      </c>
      <c r="PAS16" s="238">
        <f t="shared" ref="PAS16" si="5426">PAS11*0.0425</f>
        <v>0</v>
      </c>
      <c r="PAU16" s="238">
        <f t="shared" ref="PAU16" si="5427">PAU11*0.0425</f>
        <v>0</v>
      </c>
      <c r="PAW16" s="238">
        <f t="shared" ref="PAW16" si="5428">PAW11*0.0425</f>
        <v>0</v>
      </c>
      <c r="PAY16" s="238">
        <f t="shared" ref="PAY16" si="5429">PAY11*0.0425</f>
        <v>0</v>
      </c>
      <c r="PBA16" s="238">
        <f t="shared" ref="PBA16" si="5430">PBA11*0.0425</f>
        <v>0</v>
      </c>
      <c r="PBC16" s="238">
        <f t="shared" ref="PBC16" si="5431">PBC11*0.0425</f>
        <v>0</v>
      </c>
      <c r="PBE16" s="238">
        <f t="shared" ref="PBE16" si="5432">PBE11*0.0425</f>
        <v>0</v>
      </c>
      <c r="PBG16" s="238">
        <f t="shared" ref="PBG16" si="5433">PBG11*0.0425</f>
        <v>0</v>
      </c>
      <c r="PBI16" s="238">
        <f t="shared" ref="PBI16" si="5434">PBI11*0.0425</f>
        <v>0</v>
      </c>
      <c r="PBK16" s="238">
        <f t="shared" ref="PBK16" si="5435">PBK11*0.0425</f>
        <v>0</v>
      </c>
      <c r="PBM16" s="238">
        <f t="shared" ref="PBM16" si="5436">PBM11*0.0425</f>
        <v>0</v>
      </c>
      <c r="PBO16" s="238">
        <f t="shared" ref="PBO16" si="5437">PBO11*0.0425</f>
        <v>0</v>
      </c>
      <c r="PBQ16" s="238">
        <f t="shared" ref="PBQ16" si="5438">PBQ11*0.0425</f>
        <v>0</v>
      </c>
      <c r="PBS16" s="238">
        <f t="shared" ref="PBS16" si="5439">PBS11*0.0425</f>
        <v>0</v>
      </c>
      <c r="PBU16" s="238">
        <f t="shared" ref="PBU16" si="5440">PBU11*0.0425</f>
        <v>0</v>
      </c>
      <c r="PBW16" s="238">
        <f t="shared" ref="PBW16" si="5441">PBW11*0.0425</f>
        <v>0</v>
      </c>
      <c r="PBY16" s="238">
        <f t="shared" ref="PBY16" si="5442">PBY11*0.0425</f>
        <v>0</v>
      </c>
      <c r="PCA16" s="238">
        <f t="shared" ref="PCA16" si="5443">PCA11*0.0425</f>
        <v>0</v>
      </c>
      <c r="PCC16" s="238">
        <f t="shared" ref="PCC16" si="5444">PCC11*0.0425</f>
        <v>0</v>
      </c>
      <c r="PCE16" s="238">
        <f t="shared" ref="PCE16" si="5445">PCE11*0.0425</f>
        <v>0</v>
      </c>
      <c r="PCG16" s="238">
        <f t="shared" ref="PCG16" si="5446">PCG11*0.0425</f>
        <v>0</v>
      </c>
      <c r="PCI16" s="238">
        <f t="shared" ref="PCI16" si="5447">PCI11*0.0425</f>
        <v>0</v>
      </c>
      <c r="PCK16" s="238">
        <f t="shared" ref="PCK16" si="5448">PCK11*0.0425</f>
        <v>0</v>
      </c>
      <c r="PCM16" s="238">
        <f t="shared" ref="PCM16" si="5449">PCM11*0.0425</f>
        <v>0</v>
      </c>
      <c r="PCO16" s="238">
        <f t="shared" ref="PCO16" si="5450">PCO11*0.0425</f>
        <v>0</v>
      </c>
      <c r="PCQ16" s="238">
        <f t="shared" ref="PCQ16" si="5451">PCQ11*0.0425</f>
        <v>0</v>
      </c>
      <c r="PCS16" s="238">
        <f t="shared" ref="PCS16" si="5452">PCS11*0.0425</f>
        <v>0</v>
      </c>
      <c r="PCU16" s="238">
        <f t="shared" ref="PCU16" si="5453">PCU11*0.0425</f>
        <v>0</v>
      </c>
      <c r="PCW16" s="238">
        <f t="shared" ref="PCW16" si="5454">PCW11*0.0425</f>
        <v>0</v>
      </c>
      <c r="PCY16" s="238">
        <f t="shared" ref="PCY16" si="5455">PCY11*0.0425</f>
        <v>0</v>
      </c>
      <c r="PDA16" s="238">
        <f t="shared" ref="PDA16" si="5456">PDA11*0.0425</f>
        <v>0</v>
      </c>
      <c r="PDC16" s="238">
        <f t="shared" ref="PDC16" si="5457">PDC11*0.0425</f>
        <v>0</v>
      </c>
      <c r="PDE16" s="238">
        <f t="shared" ref="PDE16" si="5458">PDE11*0.0425</f>
        <v>0</v>
      </c>
      <c r="PDG16" s="238">
        <f t="shared" ref="PDG16" si="5459">PDG11*0.0425</f>
        <v>0</v>
      </c>
      <c r="PDI16" s="238">
        <f t="shared" ref="PDI16" si="5460">PDI11*0.0425</f>
        <v>0</v>
      </c>
      <c r="PDK16" s="238">
        <f t="shared" ref="PDK16" si="5461">PDK11*0.0425</f>
        <v>0</v>
      </c>
      <c r="PDM16" s="238">
        <f t="shared" ref="PDM16" si="5462">PDM11*0.0425</f>
        <v>0</v>
      </c>
      <c r="PDO16" s="238">
        <f t="shared" ref="PDO16" si="5463">PDO11*0.0425</f>
        <v>0</v>
      </c>
      <c r="PDQ16" s="238">
        <f t="shared" ref="PDQ16" si="5464">PDQ11*0.0425</f>
        <v>0</v>
      </c>
      <c r="PDS16" s="238">
        <f t="shared" ref="PDS16" si="5465">PDS11*0.0425</f>
        <v>0</v>
      </c>
      <c r="PDU16" s="238">
        <f t="shared" ref="PDU16" si="5466">PDU11*0.0425</f>
        <v>0</v>
      </c>
      <c r="PDW16" s="238">
        <f t="shared" ref="PDW16" si="5467">PDW11*0.0425</f>
        <v>0</v>
      </c>
      <c r="PDY16" s="238">
        <f t="shared" ref="PDY16" si="5468">PDY11*0.0425</f>
        <v>0</v>
      </c>
      <c r="PEA16" s="238">
        <f t="shared" ref="PEA16" si="5469">PEA11*0.0425</f>
        <v>0</v>
      </c>
      <c r="PEC16" s="238">
        <f t="shared" ref="PEC16" si="5470">PEC11*0.0425</f>
        <v>0</v>
      </c>
      <c r="PEE16" s="238">
        <f t="shared" ref="PEE16" si="5471">PEE11*0.0425</f>
        <v>0</v>
      </c>
      <c r="PEG16" s="238">
        <f t="shared" ref="PEG16" si="5472">PEG11*0.0425</f>
        <v>0</v>
      </c>
      <c r="PEI16" s="238">
        <f t="shared" ref="PEI16" si="5473">PEI11*0.0425</f>
        <v>0</v>
      </c>
      <c r="PEK16" s="238">
        <f t="shared" ref="PEK16" si="5474">PEK11*0.0425</f>
        <v>0</v>
      </c>
      <c r="PEM16" s="238">
        <f t="shared" ref="PEM16" si="5475">PEM11*0.0425</f>
        <v>0</v>
      </c>
      <c r="PEO16" s="238">
        <f t="shared" ref="PEO16" si="5476">PEO11*0.0425</f>
        <v>0</v>
      </c>
      <c r="PEQ16" s="238">
        <f t="shared" ref="PEQ16" si="5477">PEQ11*0.0425</f>
        <v>0</v>
      </c>
      <c r="PES16" s="238">
        <f t="shared" ref="PES16" si="5478">PES11*0.0425</f>
        <v>0</v>
      </c>
      <c r="PEU16" s="238">
        <f t="shared" ref="PEU16" si="5479">PEU11*0.0425</f>
        <v>0</v>
      </c>
      <c r="PEW16" s="238">
        <f t="shared" ref="PEW16" si="5480">PEW11*0.0425</f>
        <v>0</v>
      </c>
      <c r="PEY16" s="238">
        <f t="shared" ref="PEY16" si="5481">PEY11*0.0425</f>
        <v>0</v>
      </c>
      <c r="PFA16" s="238">
        <f t="shared" ref="PFA16" si="5482">PFA11*0.0425</f>
        <v>0</v>
      </c>
      <c r="PFC16" s="238">
        <f t="shared" ref="PFC16" si="5483">PFC11*0.0425</f>
        <v>0</v>
      </c>
      <c r="PFE16" s="238">
        <f t="shared" ref="PFE16" si="5484">PFE11*0.0425</f>
        <v>0</v>
      </c>
      <c r="PFG16" s="238">
        <f t="shared" ref="PFG16" si="5485">PFG11*0.0425</f>
        <v>0</v>
      </c>
      <c r="PFI16" s="238">
        <f t="shared" ref="PFI16" si="5486">PFI11*0.0425</f>
        <v>0</v>
      </c>
      <c r="PFK16" s="238">
        <f t="shared" ref="PFK16" si="5487">PFK11*0.0425</f>
        <v>0</v>
      </c>
      <c r="PFM16" s="238">
        <f t="shared" ref="PFM16" si="5488">PFM11*0.0425</f>
        <v>0</v>
      </c>
      <c r="PFO16" s="238">
        <f t="shared" ref="PFO16" si="5489">PFO11*0.0425</f>
        <v>0</v>
      </c>
      <c r="PFQ16" s="238">
        <f t="shared" ref="PFQ16" si="5490">PFQ11*0.0425</f>
        <v>0</v>
      </c>
      <c r="PFS16" s="238">
        <f t="shared" ref="PFS16" si="5491">PFS11*0.0425</f>
        <v>0</v>
      </c>
      <c r="PFU16" s="238">
        <f t="shared" ref="PFU16" si="5492">PFU11*0.0425</f>
        <v>0</v>
      </c>
      <c r="PFW16" s="238">
        <f t="shared" ref="PFW16" si="5493">PFW11*0.0425</f>
        <v>0</v>
      </c>
      <c r="PFY16" s="238">
        <f t="shared" ref="PFY16" si="5494">PFY11*0.0425</f>
        <v>0</v>
      </c>
      <c r="PGA16" s="238">
        <f t="shared" ref="PGA16" si="5495">PGA11*0.0425</f>
        <v>0</v>
      </c>
      <c r="PGC16" s="238">
        <f t="shared" ref="PGC16" si="5496">PGC11*0.0425</f>
        <v>0</v>
      </c>
      <c r="PGE16" s="238">
        <f t="shared" ref="PGE16" si="5497">PGE11*0.0425</f>
        <v>0</v>
      </c>
      <c r="PGG16" s="238">
        <f t="shared" ref="PGG16" si="5498">PGG11*0.0425</f>
        <v>0</v>
      </c>
      <c r="PGI16" s="238">
        <f t="shared" ref="PGI16" si="5499">PGI11*0.0425</f>
        <v>0</v>
      </c>
      <c r="PGK16" s="238">
        <f t="shared" ref="PGK16" si="5500">PGK11*0.0425</f>
        <v>0</v>
      </c>
      <c r="PGM16" s="238">
        <f t="shared" ref="PGM16" si="5501">PGM11*0.0425</f>
        <v>0</v>
      </c>
      <c r="PGO16" s="238">
        <f t="shared" ref="PGO16" si="5502">PGO11*0.0425</f>
        <v>0</v>
      </c>
      <c r="PGQ16" s="238">
        <f t="shared" ref="PGQ16" si="5503">PGQ11*0.0425</f>
        <v>0</v>
      </c>
      <c r="PGS16" s="238">
        <f t="shared" ref="PGS16" si="5504">PGS11*0.0425</f>
        <v>0</v>
      </c>
      <c r="PGU16" s="238">
        <f t="shared" ref="PGU16" si="5505">PGU11*0.0425</f>
        <v>0</v>
      </c>
      <c r="PGW16" s="238">
        <f t="shared" ref="PGW16" si="5506">PGW11*0.0425</f>
        <v>0</v>
      </c>
      <c r="PGY16" s="238">
        <f t="shared" ref="PGY16" si="5507">PGY11*0.0425</f>
        <v>0</v>
      </c>
      <c r="PHA16" s="238">
        <f t="shared" ref="PHA16" si="5508">PHA11*0.0425</f>
        <v>0</v>
      </c>
      <c r="PHC16" s="238">
        <f t="shared" ref="PHC16" si="5509">PHC11*0.0425</f>
        <v>0</v>
      </c>
      <c r="PHE16" s="238">
        <f t="shared" ref="PHE16" si="5510">PHE11*0.0425</f>
        <v>0</v>
      </c>
      <c r="PHG16" s="238">
        <f t="shared" ref="PHG16" si="5511">PHG11*0.0425</f>
        <v>0</v>
      </c>
      <c r="PHI16" s="238">
        <f t="shared" ref="PHI16" si="5512">PHI11*0.0425</f>
        <v>0</v>
      </c>
      <c r="PHK16" s="238">
        <f t="shared" ref="PHK16" si="5513">PHK11*0.0425</f>
        <v>0</v>
      </c>
      <c r="PHM16" s="238">
        <f t="shared" ref="PHM16" si="5514">PHM11*0.0425</f>
        <v>0</v>
      </c>
      <c r="PHO16" s="238">
        <f t="shared" ref="PHO16" si="5515">PHO11*0.0425</f>
        <v>0</v>
      </c>
      <c r="PHQ16" s="238">
        <f t="shared" ref="PHQ16" si="5516">PHQ11*0.0425</f>
        <v>0</v>
      </c>
      <c r="PHS16" s="238">
        <f t="shared" ref="PHS16" si="5517">PHS11*0.0425</f>
        <v>0</v>
      </c>
      <c r="PHU16" s="238">
        <f t="shared" ref="PHU16" si="5518">PHU11*0.0425</f>
        <v>0</v>
      </c>
      <c r="PHW16" s="238">
        <f t="shared" ref="PHW16" si="5519">PHW11*0.0425</f>
        <v>0</v>
      </c>
      <c r="PHY16" s="238">
        <f t="shared" ref="PHY16" si="5520">PHY11*0.0425</f>
        <v>0</v>
      </c>
      <c r="PIA16" s="238">
        <f t="shared" ref="PIA16" si="5521">PIA11*0.0425</f>
        <v>0</v>
      </c>
      <c r="PIC16" s="238">
        <f t="shared" ref="PIC16" si="5522">PIC11*0.0425</f>
        <v>0</v>
      </c>
      <c r="PIE16" s="238">
        <f t="shared" ref="PIE16" si="5523">PIE11*0.0425</f>
        <v>0</v>
      </c>
      <c r="PIG16" s="238">
        <f t="shared" ref="PIG16" si="5524">PIG11*0.0425</f>
        <v>0</v>
      </c>
      <c r="PII16" s="238">
        <f t="shared" ref="PII16" si="5525">PII11*0.0425</f>
        <v>0</v>
      </c>
      <c r="PIK16" s="238">
        <f t="shared" ref="PIK16" si="5526">PIK11*0.0425</f>
        <v>0</v>
      </c>
      <c r="PIM16" s="238">
        <f t="shared" ref="PIM16" si="5527">PIM11*0.0425</f>
        <v>0</v>
      </c>
      <c r="PIO16" s="238">
        <f t="shared" ref="PIO16" si="5528">PIO11*0.0425</f>
        <v>0</v>
      </c>
      <c r="PIQ16" s="238">
        <f t="shared" ref="PIQ16" si="5529">PIQ11*0.0425</f>
        <v>0</v>
      </c>
      <c r="PIS16" s="238">
        <f t="shared" ref="PIS16" si="5530">PIS11*0.0425</f>
        <v>0</v>
      </c>
      <c r="PIU16" s="238">
        <f t="shared" ref="PIU16" si="5531">PIU11*0.0425</f>
        <v>0</v>
      </c>
      <c r="PIW16" s="238">
        <f t="shared" ref="PIW16" si="5532">PIW11*0.0425</f>
        <v>0</v>
      </c>
      <c r="PIY16" s="238">
        <f t="shared" ref="PIY16" si="5533">PIY11*0.0425</f>
        <v>0</v>
      </c>
      <c r="PJA16" s="238">
        <f t="shared" ref="PJA16" si="5534">PJA11*0.0425</f>
        <v>0</v>
      </c>
      <c r="PJC16" s="238">
        <f t="shared" ref="PJC16" si="5535">PJC11*0.0425</f>
        <v>0</v>
      </c>
      <c r="PJE16" s="238">
        <f t="shared" ref="PJE16" si="5536">PJE11*0.0425</f>
        <v>0</v>
      </c>
      <c r="PJG16" s="238">
        <f t="shared" ref="PJG16" si="5537">PJG11*0.0425</f>
        <v>0</v>
      </c>
      <c r="PJI16" s="238">
        <f t="shared" ref="PJI16" si="5538">PJI11*0.0425</f>
        <v>0</v>
      </c>
      <c r="PJK16" s="238">
        <f t="shared" ref="PJK16" si="5539">PJK11*0.0425</f>
        <v>0</v>
      </c>
      <c r="PJM16" s="238">
        <f t="shared" ref="PJM16" si="5540">PJM11*0.0425</f>
        <v>0</v>
      </c>
      <c r="PJO16" s="238">
        <f t="shared" ref="PJO16" si="5541">PJO11*0.0425</f>
        <v>0</v>
      </c>
      <c r="PJQ16" s="238">
        <f t="shared" ref="PJQ16" si="5542">PJQ11*0.0425</f>
        <v>0</v>
      </c>
      <c r="PJS16" s="238">
        <f t="shared" ref="PJS16" si="5543">PJS11*0.0425</f>
        <v>0</v>
      </c>
      <c r="PJU16" s="238">
        <f t="shared" ref="PJU16" si="5544">PJU11*0.0425</f>
        <v>0</v>
      </c>
      <c r="PJW16" s="238">
        <f t="shared" ref="PJW16" si="5545">PJW11*0.0425</f>
        <v>0</v>
      </c>
      <c r="PJY16" s="238">
        <f t="shared" ref="PJY16" si="5546">PJY11*0.0425</f>
        <v>0</v>
      </c>
      <c r="PKA16" s="238">
        <f t="shared" ref="PKA16" si="5547">PKA11*0.0425</f>
        <v>0</v>
      </c>
      <c r="PKC16" s="238">
        <f t="shared" ref="PKC16" si="5548">PKC11*0.0425</f>
        <v>0</v>
      </c>
      <c r="PKE16" s="238">
        <f t="shared" ref="PKE16" si="5549">PKE11*0.0425</f>
        <v>0</v>
      </c>
      <c r="PKG16" s="238">
        <f t="shared" ref="PKG16" si="5550">PKG11*0.0425</f>
        <v>0</v>
      </c>
      <c r="PKI16" s="238">
        <f t="shared" ref="PKI16" si="5551">PKI11*0.0425</f>
        <v>0</v>
      </c>
      <c r="PKK16" s="238">
        <f t="shared" ref="PKK16" si="5552">PKK11*0.0425</f>
        <v>0</v>
      </c>
      <c r="PKM16" s="238">
        <f t="shared" ref="PKM16" si="5553">PKM11*0.0425</f>
        <v>0</v>
      </c>
      <c r="PKO16" s="238">
        <f t="shared" ref="PKO16" si="5554">PKO11*0.0425</f>
        <v>0</v>
      </c>
      <c r="PKQ16" s="238">
        <f t="shared" ref="PKQ16" si="5555">PKQ11*0.0425</f>
        <v>0</v>
      </c>
      <c r="PKS16" s="238">
        <f t="shared" ref="PKS16" si="5556">PKS11*0.0425</f>
        <v>0</v>
      </c>
      <c r="PKU16" s="238">
        <f t="shared" ref="PKU16" si="5557">PKU11*0.0425</f>
        <v>0</v>
      </c>
      <c r="PKW16" s="238">
        <f t="shared" ref="PKW16" si="5558">PKW11*0.0425</f>
        <v>0</v>
      </c>
      <c r="PKY16" s="238">
        <f t="shared" ref="PKY16" si="5559">PKY11*0.0425</f>
        <v>0</v>
      </c>
      <c r="PLA16" s="238">
        <f t="shared" ref="PLA16" si="5560">PLA11*0.0425</f>
        <v>0</v>
      </c>
      <c r="PLC16" s="238">
        <f t="shared" ref="PLC16" si="5561">PLC11*0.0425</f>
        <v>0</v>
      </c>
      <c r="PLE16" s="238">
        <f t="shared" ref="PLE16" si="5562">PLE11*0.0425</f>
        <v>0</v>
      </c>
      <c r="PLG16" s="238">
        <f t="shared" ref="PLG16" si="5563">PLG11*0.0425</f>
        <v>0</v>
      </c>
      <c r="PLI16" s="238">
        <f t="shared" ref="PLI16" si="5564">PLI11*0.0425</f>
        <v>0</v>
      </c>
      <c r="PLK16" s="238">
        <f t="shared" ref="PLK16" si="5565">PLK11*0.0425</f>
        <v>0</v>
      </c>
      <c r="PLM16" s="238">
        <f t="shared" ref="PLM16" si="5566">PLM11*0.0425</f>
        <v>0</v>
      </c>
      <c r="PLO16" s="238">
        <f t="shared" ref="PLO16" si="5567">PLO11*0.0425</f>
        <v>0</v>
      </c>
      <c r="PLQ16" s="238">
        <f t="shared" ref="PLQ16" si="5568">PLQ11*0.0425</f>
        <v>0</v>
      </c>
      <c r="PLS16" s="238">
        <f t="shared" ref="PLS16" si="5569">PLS11*0.0425</f>
        <v>0</v>
      </c>
      <c r="PLU16" s="238">
        <f t="shared" ref="PLU16" si="5570">PLU11*0.0425</f>
        <v>0</v>
      </c>
      <c r="PLW16" s="238">
        <f t="shared" ref="PLW16" si="5571">PLW11*0.0425</f>
        <v>0</v>
      </c>
      <c r="PLY16" s="238">
        <f t="shared" ref="PLY16" si="5572">PLY11*0.0425</f>
        <v>0</v>
      </c>
      <c r="PMA16" s="238">
        <f t="shared" ref="PMA16" si="5573">PMA11*0.0425</f>
        <v>0</v>
      </c>
      <c r="PMC16" s="238">
        <f t="shared" ref="PMC16" si="5574">PMC11*0.0425</f>
        <v>0</v>
      </c>
      <c r="PME16" s="238">
        <f t="shared" ref="PME16" si="5575">PME11*0.0425</f>
        <v>0</v>
      </c>
      <c r="PMG16" s="238">
        <f t="shared" ref="PMG16" si="5576">PMG11*0.0425</f>
        <v>0</v>
      </c>
      <c r="PMI16" s="238">
        <f t="shared" ref="PMI16" si="5577">PMI11*0.0425</f>
        <v>0</v>
      </c>
      <c r="PMK16" s="238">
        <f t="shared" ref="PMK16" si="5578">PMK11*0.0425</f>
        <v>0</v>
      </c>
      <c r="PMM16" s="238">
        <f t="shared" ref="PMM16" si="5579">PMM11*0.0425</f>
        <v>0</v>
      </c>
      <c r="PMO16" s="238">
        <f t="shared" ref="PMO16" si="5580">PMO11*0.0425</f>
        <v>0</v>
      </c>
      <c r="PMQ16" s="238">
        <f t="shared" ref="PMQ16" si="5581">PMQ11*0.0425</f>
        <v>0</v>
      </c>
      <c r="PMS16" s="238">
        <f t="shared" ref="PMS16" si="5582">PMS11*0.0425</f>
        <v>0</v>
      </c>
      <c r="PMU16" s="238">
        <f t="shared" ref="PMU16" si="5583">PMU11*0.0425</f>
        <v>0</v>
      </c>
      <c r="PMW16" s="238">
        <f t="shared" ref="PMW16" si="5584">PMW11*0.0425</f>
        <v>0</v>
      </c>
      <c r="PMY16" s="238">
        <f t="shared" ref="PMY16" si="5585">PMY11*0.0425</f>
        <v>0</v>
      </c>
      <c r="PNA16" s="238">
        <f t="shared" ref="PNA16" si="5586">PNA11*0.0425</f>
        <v>0</v>
      </c>
      <c r="PNC16" s="238">
        <f t="shared" ref="PNC16" si="5587">PNC11*0.0425</f>
        <v>0</v>
      </c>
      <c r="PNE16" s="238">
        <f t="shared" ref="PNE16" si="5588">PNE11*0.0425</f>
        <v>0</v>
      </c>
      <c r="PNG16" s="238">
        <f t="shared" ref="PNG16" si="5589">PNG11*0.0425</f>
        <v>0</v>
      </c>
      <c r="PNI16" s="238">
        <f t="shared" ref="PNI16" si="5590">PNI11*0.0425</f>
        <v>0</v>
      </c>
      <c r="PNK16" s="238">
        <f t="shared" ref="PNK16" si="5591">PNK11*0.0425</f>
        <v>0</v>
      </c>
      <c r="PNM16" s="238">
        <f t="shared" ref="PNM16" si="5592">PNM11*0.0425</f>
        <v>0</v>
      </c>
      <c r="PNO16" s="238">
        <f t="shared" ref="PNO16" si="5593">PNO11*0.0425</f>
        <v>0</v>
      </c>
      <c r="PNQ16" s="238">
        <f t="shared" ref="PNQ16" si="5594">PNQ11*0.0425</f>
        <v>0</v>
      </c>
      <c r="PNS16" s="238">
        <f t="shared" ref="PNS16" si="5595">PNS11*0.0425</f>
        <v>0</v>
      </c>
      <c r="PNU16" s="238">
        <f t="shared" ref="PNU16" si="5596">PNU11*0.0425</f>
        <v>0</v>
      </c>
      <c r="PNW16" s="238">
        <f t="shared" ref="PNW16" si="5597">PNW11*0.0425</f>
        <v>0</v>
      </c>
      <c r="PNY16" s="238">
        <f t="shared" ref="PNY16" si="5598">PNY11*0.0425</f>
        <v>0</v>
      </c>
      <c r="POA16" s="238">
        <f t="shared" ref="POA16" si="5599">POA11*0.0425</f>
        <v>0</v>
      </c>
      <c r="POC16" s="238">
        <f t="shared" ref="POC16" si="5600">POC11*0.0425</f>
        <v>0</v>
      </c>
      <c r="POE16" s="238">
        <f t="shared" ref="POE16" si="5601">POE11*0.0425</f>
        <v>0</v>
      </c>
      <c r="POG16" s="238">
        <f t="shared" ref="POG16" si="5602">POG11*0.0425</f>
        <v>0</v>
      </c>
      <c r="POI16" s="238">
        <f t="shared" ref="POI16" si="5603">POI11*0.0425</f>
        <v>0</v>
      </c>
      <c r="POK16" s="238">
        <f t="shared" ref="POK16" si="5604">POK11*0.0425</f>
        <v>0</v>
      </c>
      <c r="POM16" s="238">
        <f t="shared" ref="POM16" si="5605">POM11*0.0425</f>
        <v>0</v>
      </c>
      <c r="POO16" s="238">
        <f t="shared" ref="POO16" si="5606">POO11*0.0425</f>
        <v>0</v>
      </c>
      <c r="POQ16" s="238">
        <f t="shared" ref="POQ16" si="5607">POQ11*0.0425</f>
        <v>0</v>
      </c>
      <c r="POS16" s="238">
        <f t="shared" ref="POS16" si="5608">POS11*0.0425</f>
        <v>0</v>
      </c>
      <c r="POU16" s="238">
        <f t="shared" ref="POU16" si="5609">POU11*0.0425</f>
        <v>0</v>
      </c>
      <c r="POW16" s="238">
        <f t="shared" ref="POW16" si="5610">POW11*0.0425</f>
        <v>0</v>
      </c>
      <c r="POY16" s="238">
        <f t="shared" ref="POY16" si="5611">POY11*0.0425</f>
        <v>0</v>
      </c>
      <c r="PPA16" s="238">
        <f t="shared" ref="PPA16" si="5612">PPA11*0.0425</f>
        <v>0</v>
      </c>
      <c r="PPC16" s="238">
        <f t="shared" ref="PPC16" si="5613">PPC11*0.0425</f>
        <v>0</v>
      </c>
      <c r="PPE16" s="238">
        <f t="shared" ref="PPE16" si="5614">PPE11*0.0425</f>
        <v>0</v>
      </c>
      <c r="PPG16" s="238">
        <f t="shared" ref="PPG16" si="5615">PPG11*0.0425</f>
        <v>0</v>
      </c>
      <c r="PPI16" s="238">
        <f t="shared" ref="PPI16" si="5616">PPI11*0.0425</f>
        <v>0</v>
      </c>
      <c r="PPK16" s="238">
        <f t="shared" ref="PPK16" si="5617">PPK11*0.0425</f>
        <v>0</v>
      </c>
      <c r="PPM16" s="238">
        <f t="shared" ref="PPM16" si="5618">PPM11*0.0425</f>
        <v>0</v>
      </c>
      <c r="PPO16" s="238">
        <f t="shared" ref="PPO16" si="5619">PPO11*0.0425</f>
        <v>0</v>
      </c>
      <c r="PPQ16" s="238">
        <f t="shared" ref="PPQ16" si="5620">PPQ11*0.0425</f>
        <v>0</v>
      </c>
      <c r="PPS16" s="238">
        <f t="shared" ref="PPS16" si="5621">PPS11*0.0425</f>
        <v>0</v>
      </c>
      <c r="PPU16" s="238">
        <f t="shared" ref="PPU16" si="5622">PPU11*0.0425</f>
        <v>0</v>
      </c>
      <c r="PPW16" s="238">
        <f t="shared" ref="PPW16" si="5623">PPW11*0.0425</f>
        <v>0</v>
      </c>
      <c r="PPY16" s="238">
        <f t="shared" ref="PPY16" si="5624">PPY11*0.0425</f>
        <v>0</v>
      </c>
      <c r="PQA16" s="238">
        <f t="shared" ref="PQA16" si="5625">PQA11*0.0425</f>
        <v>0</v>
      </c>
      <c r="PQC16" s="238">
        <f t="shared" ref="PQC16" si="5626">PQC11*0.0425</f>
        <v>0</v>
      </c>
      <c r="PQE16" s="238">
        <f t="shared" ref="PQE16" si="5627">PQE11*0.0425</f>
        <v>0</v>
      </c>
      <c r="PQG16" s="238">
        <f t="shared" ref="PQG16" si="5628">PQG11*0.0425</f>
        <v>0</v>
      </c>
      <c r="PQI16" s="238">
        <f t="shared" ref="PQI16" si="5629">PQI11*0.0425</f>
        <v>0</v>
      </c>
      <c r="PQK16" s="238">
        <f t="shared" ref="PQK16" si="5630">PQK11*0.0425</f>
        <v>0</v>
      </c>
      <c r="PQM16" s="238">
        <f t="shared" ref="PQM16" si="5631">PQM11*0.0425</f>
        <v>0</v>
      </c>
      <c r="PQO16" s="238">
        <f t="shared" ref="PQO16" si="5632">PQO11*0.0425</f>
        <v>0</v>
      </c>
      <c r="PQQ16" s="238">
        <f t="shared" ref="PQQ16" si="5633">PQQ11*0.0425</f>
        <v>0</v>
      </c>
      <c r="PQS16" s="238">
        <f t="shared" ref="PQS16" si="5634">PQS11*0.0425</f>
        <v>0</v>
      </c>
      <c r="PQU16" s="238">
        <f t="shared" ref="PQU16" si="5635">PQU11*0.0425</f>
        <v>0</v>
      </c>
      <c r="PQW16" s="238">
        <f t="shared" ref="PQW16" si="5636">PQW11*0.0425</f>
        <v>0</v>
      </c>
      <c r="PQY16" s="238">
        <f t="shared" ref="PQY16" si="5637">PQY11*0.0425</f>
        <v>0</v>
      </c>
      <c r="PRA16" s="238">
        <f t="shared" ref="PRA16" si="5638">PRA11*0.0425</f>
        <v>0</v>
      </c>
      <c r="PRC16" s="238">
        <f t="shared" ref="PRC16" si="5639">PRC11*0.0425</f>
        <v>0</v>
      </c>
      <c r="PRE16" s="238">
        <f t="shared" ref="PRE16" si="5640">PRE11*0.0425</f>
        <v>0</v>
      </c>
      <c r="PRG16" s="238">
        <f t="shared" ref="PRG16" si="5641">PRG11*0.0425</f>
        <v>0</v>
      </c>
      <c r="PRI16" s="238">
        <f t="shared" ref="PRI16" si="5642">PRI11*0.0425</f>
        <v>0</v>
      </c>
      <c r="PRK16" s="238">
        <f t="shared" ref="PRK16" si="5643">PRK11*0.0425</f>
        <v>0</v>
      </c>
      <c r="PRM16" s="238">
        <f t="shared" ref="PRM16" si="5644">PRM11*0.0425</f>
        <v>0</v>
      </c>
      <c r="PRO16" s="238">
        <f t="shared" ref="PRO16" si="5645">PRO11*0.0425</f>
        <v>0</v>
      </c>
      <c r="PRQ16" s="238">
        <f t="shared" ref="PRQ16" si="5646">PRQ11*0.0425</f>
        <v>0</v>
      </c>
      <c r="PRS16" s="238">
        <f t="shared" ref="PRS16" si="5647">PRS11*0.0425</f>
        <v>0</v>
      </c>
      <c r="PRU16" s="238">
        <f t="shared" ref="PRU16" si="5648">PRU11*0.0425</f>
        <v>0</v>
      </c>
      <c r="PRW16" s="238">
        <f t="shared" ref="PRW16" si="5649">PRW11*0.0425</f>
        <v>0</v>
      </c>
      <c r="PRY16" s="238">
        <f t="shared" ref="PRY16" si="5650">PRY11*0.0425</f>
        <v>0</v>
      </c>
      <c r="PSA16" s="238">
        <f t="shared" ref="PSA16" si="5651">PSA11*0.0425</f>
        <v>0</v>
      </c>
      <c r="PSC16" s="238">
        <f t="shared" ref="PSC16" si="5652">PSC11*0.0425</f>
        <v>0</v>
      </c>
      <c r="PSE16" s="238">
        <f t="shared" ref="PSE16" si="5653">PSE11*0.0425</f>
        <v>0</v>
      </c>
      <c r="PSG16" s="238">
        <f t="shared" ref="PSG16" si="5654">PSG11*0.0425</f>
        <v>0</v>
      </c>
      <c r="PSI16" s="238">
        <f t="shared" ref="PSI16" si="5655">PSI11*0.0425</f>
        <v>0</v>
      </c>
      <c r="PSK16" s="238">
        <f t="shared" ref="PSK16" si="5656">PSK11*0.0425</f>
        <v>0</v>
      </c>
      <c r="PSM16" s="238">
        <f t="shared" ref="PSM16" si="5657">PSM11*0.0425</f>
        <v>0</v>
      </c>
      <c r="PSO16" s="238">
        <f t="shared" ref="PSO16" si="5658">PSO11*0.0425</f>
        <v>0</v>
      </c>
      <c r="PSQ16" s="238">
        <f t="shared" ref="PSQ16" si="5659">PSQ11*0.0425</f>
        <v>0</v>
      </c>
      <c r="PSS16" s="238">
        <f t="shared" ref="PSS16" si="5660">PSS11*0.0425</f>
        <v>0</v>
      </c>
      <c r="PSU16" s="238">
        <f t="shared" ref="PSU16" si="5661">PSU11*0.0425</f>
        <v>0</v>
      </c>
      <c r="PSW16" s="238">
        <f t="shared" ref="PSW16" si="5662">PSW11*0.0425</f>
        <v>0</v>
      </c>
      <c r="PSY16" s="238">
        <f t="shared" ref="PSY16" si="5663">PSY11*0.0425</f>
        <v>0</v>
      </c>
      <c r="PTA16" s="238">
        <f t="shared" ref="PTA16" si="5664">PTA11*0.0425</f>
        <v>0</v>
      </c>
      <c r="PTC16" s="238">
        <f t="shared" ref="PTC16" si="5665">PTC11*0.0425</f>
        <v>0</v>
      </c>
      <c r="PTE16" s="238">
        <f t="shared" ref="PTE16" si="5666">PTE11*0.0425</f>
        <v>0</v>
      </c>
      <c r="PTG16" s="238">
        <f t="shared" ref="PTG16" si="5667">PTG11*0.0425</f>
        <v>0</v>
      </c>
      <c r="PTI16" s="238">
        <f t="shared" ref="PTI16" si="5668">PTI11*0.0425</f>
        <v>0</v>
      </c>
      <c r="PTK16" s="238">
        <f t="shared" ref="PTK16" si="5669">PTK11*0.0425</f>
        <v>0</v>
      </c>
      <c r="PTM16" s="238">
        <f t="shared" ref="PTM16" si="5670">PTM11*0.0425</f>
        <v>0</v>
      </c>
      <c r="PTO16" s="238">
        <f t="shared" ref="PTO16" si="5671">PTO11*0.0425</f>
        <v>0</v>
      </c>
      <c r="PTQ16" s="238">
        <f t="shared" ref="PTQ16" si="5672">PTQ11*0.0425</f>
        <v>0</v>
      </c>
      <c r="PTS16" s="238">
        <f t="shared" ref="PTS16" si="5673">PTS11*0.0425</f>
        <v>0</v>
      </c>
      <c r="PTU16" s="238">
        <f t="shared" ref="PTU16" si="5674">PTU11*0.0425</f>
        <v>0</v>
      </c>
      <c r="PTW16" s="238">
        <f t="shared" ref="PTW16" si="5675">PTW11*0.0425</f>
        <v>0</v>
      </c>
      <c r="PTY16" s="238">
        <f t="shared" ref="PTY16" si="5676">PTY11*0.0425</f>
        <v>0</v>
      </c>
      <c r="PUA16" s="238">
        <f t="shared" ref="PUA16" si="5677">PUA11*0.0425</f>
        <v>0</v>
      </c>
      <c r="PUC16" s="238">
        <f t="shared" ref="PUC16" si="5678">PUC11*0.0425</f>
        <v>0</v>
      </c>
      <c r="PUE16" s="238">
        <f t="shared" ref="PUE16" si="5679">PUE11*0.0425</f>
        <v>0</v>
      </c>
      <c r="PUG16" s="238">
        <f t="shared" ref="PUG16" si="5680">PUG11*0.0425</f>
        <v>0</v>
      </c>
      <c r="PUI16" s="238">
        <f t="shared" ref="PUI16" si="5681">PUI11*0.0425</f>
        <v>0</v>
      </c>
      <c r="PUK16" s="238">
        <f t="shared" ref="PUK16" si="5682">PUK11*0.0425</f>
        <v>0</v>
      </c>
      <c r="PUM16" s="238">
        <f t="shared" ref="PUM16" si="5683">PUM11*0.0425</f>
        <v>0</v>
      </c>
      <c r="PUO16" s="238">
        <f t="shared" ref="PUO16" si="5684">PUO11*0.0425</f>
        <v>0</v>
      </c>
      <c r="PUQ16" s="238">
        <f t="shared" ref="PUQ16" si="5685">PUQ11*0.0425</f>
        <v>0</v>
      </c>
      <c r="PUS16" s="238">
        <f t="shared" ref="PUS16" si="5686">PUS11*0.0425</f>
        <v>0</v>
      </c>
      <c r="PUU16" s="238">
        <f t="shared" ref="PUU16" si="5687">PUU11*0.0425</f>
        <v>0</v>
      </c>
      <c r="PUW16" s="238">
        <f t="shared" ref="PUW16" si="5688">PUW11*0.0425</f>
        <v>0</v>
      </c>
      <c r="PUY16" s="238">
        <f t="shared" ref="PUY16" si="5689">PUY11*0.0425</f>
        <v>0</v>
      </c>
      <c r="PVA16" s="238">
        <f t="shared" ref="PVA16" si="5690">PVA11*0.0425</f>
        <v>0</v>
      </c>
      <c r="PVC16" s="238">
        <f t="shared" ref="PVC16" si="5691">PVC11*0.0425</f>
        <v>0</v>
      </c>
      <c r="PVE16" s="238">
        <f t="shared" ref="PVE16" si="5692">PVE11*0.0425</f>
        <v>0</v>
      </c>
      <c r="PVG16" s="238">
        <f t="shared" ref="PVG16" si="5693">PVG11*0.0425</f>
        <v>0</v>
      </c>
      <c r="PVI16" s="238">
        <f t="shared" ref="PVI16" si="5694">PVI11*0.0425</f>
        <v>0</v>
      </c>
      <c r="PVK16" s="238">
        <f t="shared" ref="PVK16" si="5695">PVK11*0.0425</f>
        <v>0</v>
      </c>
      <c r="PVM16" s="238">
        <f t="shared" ref="PVM16" si="5696">PVM11*0.0425</f>
        <v>0</v>
      </c>
      <c r="PVO16" s="238">
        <f t="shared" ref="PVO16" si="5697">PVO11*0.0425</f>
        <v>0</v>
      </c>
      <c r="PVQ16" s="238">
        <f t="shared" ref="PVQ16" si="5698">PVQ11*0.0425</f>
        <v>0</v>
      </c>
      <c r="PVS16" s="238">
        <f t="shared" ref="PVS16" si="5699">PVS11*0.0425</f>
        <v>0</v>
      </c>
      <c r="PVU16" s="238">
        <f t="shared" ref="PVU16" si="5700">PVU11*0.0425</f>
        <v>0</v>
      </c>
      <c r="PVW16" s="238">
        <f t="shared" ref="PVW16" si="5701">PVW11*0.0425</f>
        <v>0</v>
      </c>
      <c r="PVY16" s="238">
        <f t="shared" ref="PVY16" si="5702">PVY11*0.0425</f>
        <v>0</v>
      </c>
      <c r="PWA16" s="238">
        <f t="shared" ref="PWA16" si="5703">PWA11*0.0425</f>
        <v>0</v>
      </c>
      <c r="PWC16" s="238">
        <f t="shared" ref="PWC16" si="5704">PWC11*0.0425</f>
        <v>0</v>
      </c>
      <c r="PWE16" s="238">
        <f t="shared" ref="PWE16" si="5705">PWE11*0.0425</f>
        <v>0</v>
      </c>
      <c r="PWG16" s="238">
        <f t="shared" ref="PWG16" si="5706">PWG11*0.0425</f>
        <v>0</v>
      </c>
      <c r="PWI16" s="238">
        <f t="shared" ref="PWI16" si="5707">PWI11*0.0425</f>
        <v>0</v>
      </c>
      <c r="PWK16" s="238">
        <f t="shared" ref="PWK16" si="5708">PWK11*0.0425</f>
        <v>0</v>
      </c>
      <c r="PWM16" s="238">
        <f t="shared" ref="PWM16" si="5709">PWM11*0.0425</f>
        <v>0</v>
      </c>
      <c r="PWO16" s="238">
        <f t="shared" ref="PWO16" si="5710">PWO11*0.0425</f>
        <v>0</v>
      </c>
      <c r="PWQ16" s="238">
        <f t="shared" ref="PWQ16" si="5711">PWQ11*0.0425</f>
        <v>0</v>
      </c>
      <c r="PWS16" s="238">
        <f t="shared" ref="PWS16" si="5712">PWS11*0.0425</f>
        <v>0</v>
      </c>
      <c r="PWU16" s="238">
        <f t="shared" ref="PWU16" si="5713">PWU11*0.0425</f>
        <v>0</v>
      </c>
      <c r="PWW16" s="238">
        <f t="shared" ref="PWW16" si="5714">PWW11*0.0425</f>
        <v>0</v>
      </c>
      <c r="PWY16" s="238">
        <f t="shared" ref="PWY16" si="5715">PWY11*0.0425</f>
        <v>0</v>
      </c>
      <c r="PXA16" s="238">
        <f t="shared" ref="PXA16" si="5716">PXA11*0.0425</f>
        <v>0</v>
      </c>
      <c r="PXC16" s="238">
        <f t="shared" ref="PXC16" si="5717">PXC11*0.0425</f>
        <v>0</v>
      </c>
      <c r="PXE16" s="238">
        <f t="shared" ref="PXE16" si="5718">PXE11*0.0425</f>
        <v>0</v>
      </c>
      <c r="PXG16" s="238">
        <f t="shared" ref="PXG16" si="5719">PXG11*0.0425</f>
        <v>0</v>
      </c>
      <c r="PXI16" s="238">
        <f t="shared" ref="PXI16" si="5720">PXI11*0.0425</f>
        <v>0</v>
      </c>
      <c r="PXK16" s="238">
        <f t="shared" ref="PXK16" si="5721">PXK11*0.0425</f>
        <v>0</v>
      </c>
      <c r="PXM16" s="238">
        <f t="shared" ref="PXM16" si="5722">PXM11*0.0425</f>
        <v>0</v>
      </c>
      <c r="PXO16" s="238">
        <f t="shared" ref="PXO16" si="5723">PXO11*0.0425</f>
        <v>0</v>
      </c>
      <c r="PXQ16" s="238">
        <f t="shared" ref="PXQ16" si="5724">PXQ11*0.0425</f>
        <v>0</v>
      </c>
      <c r="PXS16" s="238">
        <f t="shared" ref="PXS16" si="5725">PXS11*0.0425</f>
        <v>0</v>
      </c>
      <c r="PXU16" s="238">
        <f t="shared" ref="PXU16" si="5726">PXU11*0.0425</f>
        <v>0</v>
      </c>
      <c r="PXW16" s="238">
        <f t="shared" ref="PXW16" si="5727">PXW11*0.0425</f>
        <v>0</v>
      </c>
      <c r="PXY16" s="238">
        <f t="shared" ref="PXY16" si="5728">PXY11*0.0425</f>
        <v>0</v>
      </c>
      <c r="PYA16" s="238">
        <f t="shared" ref="PYA16" si="5729">PYA11*0.0425</f>
        <v>0</v>
      </c>
      <c r="PYC16" s="238">
        <f t="shared" ref="PYC16" si="5730">PYC11*0.0425</f>
        <v>0</v>
      </c>
      <c r="PYE16" s="238">
        <f t="shared" ref="PYE16" si="5731">PYE11*0.0425</f>
        <v>0</v>
      </c>
      <c r="PYG16" s="238">
        <f t="shared" ref="PYG16" si="5732">PYG11*0.0425</f>
        <v>0</v>
      </c>
      <c r="PYI16" s="238">
        <f t="shared" ref="PYI16" si="5733">PYI11*0.0425</f>
        <v>0</v>
      </c>
      <c r="PYK16" s="238">
        <f t="shared" ref="PYK16" si="5734">PYK11*0.0425</f>
        <v>0</v>
      </c>
      <c r="PYM16" s="238">
        <f t="shared" ref="PYM16" si="5735">PYM11*0.0425</f>
        <v>0</v>
      </c>
      <c r="PYO16" s="238">
        <f t="shared" ref="PYO16" si="5736">PYO11*0.0425</f>
        <v>0</v>
      </c>
      <c r="PYQ16" s="238">
        <f t="shared" ref="PYQ16" si="5737">PYQ11*0.0425</f>
        <v>0</v>
      </c>
      <c r="PYS16" s="238">
        <f t="shared" ref="PYS16" si="5738">PYS11*0.0425</f>
        <v>0</v>
      </c>
      <c r="PYU16" s="238">
        <f t="shared" ref="PYU16" si="5739">PYU11*0.0425</f>
        <v>0</v>
      </c>
      <c r="PYW16" s="238">
        <f t="shared" ref="PYW16" si="5740">PYW11*0.0425</f>
        <v>0</v>
      </c>
      <c r="PYY16" s="238">
        <f t="shared" ref="PYY16" si="5741">PYY11*0.0425</f>
        <v>0</v>
      </c>
      <c r="PZA16" s="238">
        <f t="shared" ref="PZA16" si="5742">PZA11*0.0425</f>
        <v>0</v>
      </c>
      <c r="PZC16" s="238">
        <f t="shared" ref="PZC16" si="5743">PZC11*0.0425</f>
        <v>0</v>
      </c>
      <c r="PZE16" s="238">
        <f t="shared" ref="PZE16" si="5744">PZE11*0.0425</f>
        <v>0</v>
      </c>
      <c r="PZG16" s="238">
        <f t="shared" ref="PZG16" si="5745">PZG11*0.0425</f>
        <v>0</v>
      </c>
      <c r="PZI16" s="238">
        <f t="shared" ref="PZI16" si="5746">PZI11*0.0425</f>
        <v>0</v>
      </c>
      <c r="PZK16" s="238">
        <f t="shared" ref="PZK16" si="5747">PZK11*0.0425</f>
        <v>0</v>
      </c>
      <c r="PZM16" s="238">
        <f t="shared" ref="PZM16" si="5748">PZM11*0.0425</f>
        <v>0</v>
      </c>
      <c r="PZO16" s="238">
        <f t="shared" ref="PZO16" si="5749">PZO11*0.0425</f>
        <v>0</v>
      </c>
      <c r="PZQ16" s="238">
        <f t="shared" ref="PZQ16" si="5750">PZQ11*0.0425</f>
        <v>0</v>
      </c>
      <c r="PZS16" s="238">
        <f t="shared" ref="PZS16" si="5751">PZS11*0.0425</f>
        <v>0</v>
      </c>
      <c r="PZU16" s="238">
        <f t="shared" ref="PZU16" si="5752">PZU11*0.0425</f>
        <v>0</v>
      </c>
      <c r="PZW16" s="238">
        <f t="shared" ref="PZW16" si="5753">PZW11*0.0425</f>
        <v>0</v>
      </c>
      <c r="PZY16" s="238">
        <f t="shared" ref="PZY16" si="5754">PZY11*0.0425</f>
        <v>0</v>
      </c>
      <c r="QAA16" s="238">
        <f t="shared" ref="QAA16" si="5755">QAA11*0.0425</f>
        <v>0</v>
      </c>
      <c r="QAC16" s="238">
        <f t="shared" ref="QAC16" si="5756">QAC11*0.0425</f>
        <v>0</v>
      </c>
      <c r="QAE16" s="238">
        <f t="shared" ref="QAE16" si="5757">QAE11*0.0425</f>
        <v>0</v>
      </c>
      <c r="QAG16" s="238">
        <f t="shared" ref="QAG16" si="5758">QAG11*0.0425</f>
        <v>0</v>
      </c>
      <c r="QAI16" s="238">
        <f t="shared" ref="QAI16" si="5759">QAI11*0.0425</f>
        <v>0</v>
      </c>
      <c r="QAK16" s="238">
        <f t="shared" ref="QAK16" si="5760">QAK11*0.0425</f>
        <v>0</v>
      </c>
      <c r="QAM16" s="238">
        <f t="shared" ref="QAM16" si="5761">QAM11*0.0425</f>
        <v>0</v>
      </c>
      <c r="QAO16" s="238">
        <f t="shared" ref="QAO16" si="5762">QAO11*0.0425</f>
        <v>0</v>
      </c>
      <c r="QAQ16" s="238">
        <f t="shared" ref="QAQ16" si="5763">QAQ11*0.0425</f>
        <v>0</v>
      </c>
      <c r="QAS16" s="238">
        <f t="shared" ref="QAS16" si="5764">QAS11*0.0425</f>
        <v>0</v>
      </c>
      <c r="QAU16" s="238">
        <f t="shared" ref="QAU16" si="5765">QAU11*0.0425</f>
        <v>0</v>
      </c>
      <c r="QAW16" s="238">
        <f t="shared" ref="QAW16" si="5766">QAW11*0.0425</f>
        <v>0</v>
      </c>
      <c r="QAY16" s="238">
        <f t="shared" ref="QAY16" si="5767">QAY11*0.0425</f>
        <v>0</v>
      </c>
      <c r="QBA16" s="238">
        <f t="shared" ref="QBA16" si="5768">QBA11*0.0425</f>
        <v>0</v>
      </c>
      <c r="QBC16" s="238">
        <f t="shared" ref="QBC16" si="5769">QBC11*0.0425</f>
        <v>0</v>
      </c>
      <c r="QBE16" s="238">
        <f t="shared" ref="QBE16" si="5770">QBE11*0.0425</f>
        <v>0</v>
      </c>
      <c r="QBG16" s="238">
        <f t="shared" ref="QBG16" si="5771">QBG11*0.0425</f>
        <v>0</v>
      </c>
      <c r="QBI16" s="238">
        <f t="shared" ref="QBI16" si="5772">QBI11*0.0425</f>
        <v>0</v>
      </c>
      <c r="QBK16" s="238">
        <f t="shared" ref="QBK16" si="5773">QBK11*0.0425</f>
        <v>0</v>
      </c>
      <c r="QBM16" s="238">
        <f t="shared" ref="QBM16" si="5774">QBM11*0.0425</f>
        <v>0</v>
      </c>
      <c r="QBO16" s="238">
        <f t="shared" ref="QBO16" si="5775">QBO11*0.0425</f>
        <v>0</v>
      </c>
      <c r="QBQ16" s="238">
        <f t="shared" ref="QBQ16" si="5776">QBQ11*0.0425</f>
        <v>0</v>
      </c>
      <c r="QBS16" s="238">
        <f t="shared" ref="QBS16" si="5777">QBS11*0.0425</f>
        <v>0</v>
      </c>
      <c r="QBU16" s="238">
        <f t="shared" ref="QBU16" si="5778">QBU11*0.0425</f>
        <v>0</v>
      </c>
      <c r="QBW16" s="238">
        <f t="shared" ref="QBW16" si="5779">QBW11*0.0425</f>
        <v>0</v>
      </c>
      <c r="QBY16" s="238">
        <f t="shared" ref="QBY16" si="5780">QBY11*0.0425</f>
        <v>0</v>
      </c>
      <c r="QCA16" s="238">
        <f t="shared" ref="QCA16" si="5781">QCA11*0.0425</f>
        <v>0</v>
      </c>
      <c r="QCC16" s="238">
        <f t="shared" ref="QCC16" si="5782">QCC11*0.0425</f>
        <v>0</v>
      </c>
      <c r="QCE16" s="238">
        <f t="shared" ref="QCE16" si="5783">QCE11*0.0425</f>
        <v>0</v>
      </c>
      <c r="QCG16" s="238">
        <f t="shared" ref="QCG16" si="5784">QCG11*0.0425</f>
        <v>0</v>
      </c>
      <c r="QCI16" s="238">
        <f t="shared" ref="QCI16" si="5785">QCI11*0.0425</f>
        <v>0</v>
      </c>
      <c r="QCK16" s="238">
        <f t="shared" ref="QCK16" si="5786">QCK11*0.0425</f>
        <v>0</v>
      </c>
      <c r="QCM16" s="238">
        <f t="shared" ref="QCM16" si="5787">QCM11*0.0425</f>
        <v>0</v>
      </c>
      <c r="QCO16" s="238">
        <f t="shared" ref="QCO16" si="5788">QCO11*0.0425</f>
        <v>0</v>
      </c>
      <c r="QCQ16" s="238">
        <f t="shared" ref="QCQ16" si="5789">QCQ11*0.0425</f>
        <v>0</v>
      </c>
      <c r="QCS16" s="238">
        <f t="shared" ref="QCS16" si="5790">QCS11*0.0425</f>
        <v>0</v>
      </c>
      <c r="QCU16" s="238">
        <f t="shared" ref="QCU16" si="5791">QCU11*0.0425</f>
        <v>0</v>
      </c>
      <c r="QCW16" s="238">
        <f t="shared" ref="QCW16" si="5792">QCW11*0.0425</f>
        <v>0</v>
      </c>
      <c r="QCY16" s="238">
        <f t="shared" ref="QCY16" si="5793">QCY11*0.0425</f>
        <v>0</v>
      </c>
      <c r="QDA16" s="238">
        <f t="shared" ref="QDA16" si="5794">QDA11*0.0425</f>
        <v>0</v>
      </c>
      <c r="QDC16" s="238">
        <f t="shared" ref="QDC16" si="5795">QDC11*0.0425</f>
        <v>0</v>
      </c>
      <c r="QDE16" s="238">
        <f t="shared" ref="QDE16" si="5796">QDE11*0.0425</f>
        <v>0</v>
      </c>
      <c r="QDG16" s="238">
        <f t="shared" ref="QDG16" si="5797">QDG11*0.0425</f>
        <v>0</v>
      </c>
      <c r="QDI16" s="238">
        <f t="shared" ref="QDI16" si="5798">QDI11*0.0425</f>
        <v>0</v>
      </c>
      <c r="QDK16" s="238">
        <f t="shared" ref="QDK16" si="5799">QDK11*0.0425</f>
        <v>0</v>
      </c>
      <c r="QDM16" s="238">
        <f t="shared" ref="QDM16" si="5800">QDM11*0.0425</f>
        <v>0</v>
      </c>
      <c r="QDO16" s="238">
        <f t="shared" ref="QDO16" si="5801">QDO11*0.0425</f>
        <v>0</v>
      </c>
      <c r="QDQ16" s="238">
        <f t="shared" ref="QDQ16" si="5802">QDQ11*0.0425</f>
        <v>0</v>
      </c>
      <c r="QDS16" s="238">
        <f t="shared" ref="QDS16" si="5803">QDS11*0.0425</f>
        <v>0</v>
      </c>
      <c r="QDU16" s="238">
        <f t="shared" ref="QDU16" si="5804">QDU11*0.0425</f>
        <v>0</v>
      </c>
      <c r="QDW16" s="238">
        <f t="shared" ref="QDW16" si="5805">QDW11*0.0425</f>
        <v>0</v>
      </c>
      <c r="QDY16" s="238">
        <f t="shared" ref="QDY16" si="5806">QDY11*0.0425</f>
        <v>0</v>
      </c>
      <c r="QEA16" s="238">
        <f t="shared" ref="QEA16" si="5807">QEA11*0.0425</f>
        <v>0</v>
      </c>
      <c r="QEC16" s="238">
        <f t="shared" ref="QEC16" si="5808">QEC11*0.0425</f>
        <v>0</v>
      </c>
      <c r="QEE16" s="238">
        <f t="shared" ref="QEE16" si="5809">QEE11*0.0425</f>
        <v>0</v>
      </c>
      <c r="QEG16" s="238">
        <f t="shared" ref="QEG16" si="5810">QEG11*0.0425</f>
        <v>0</v>
      </c>
      <c r="QEI16" s="238">
        <f t="shared" ref="QEI16" si="5811">QEI11*0.0425</f>
        <v>0</v>
      </c>
      <c r="QEK16" s="238">
        <f t="shared" ref="QEK16" si="5812">QEK11*0.0425</f>
        <v>0</v>
      </c>
      <c r="QEM16" s="238">
        <f t="shared" ref="QEM16" si="5813">QEM11*0.0425</f>
        <v>0</v>
      </c>
      <c r="QEO16" s="238">
        <f t="shared" ref="QEO16" si="5814">QEO11*0.0425</f>
        <v>0</v>
      </c>
      <c r="QEQ16" s="238">
        <f t="shared" ref="QEQ16" si="5815">QEQ11*0.0425</f>
        <v>0</v>
      </c>
      <c r="QES16" s="238">
        <f t="shared" ref="QES16" si="5816">QES11*0.0425</f>
        <v>0</v>
      </c>
      <c r="QEU16" s="238">
        <f t="shared" ref="QEU16" si="5817">QEU11*0.0425</f>
        <v>0</v>
      </c>
      <c r="QEW16" s="238">
        <f t="shared" ref="QEW16" si="5818">QEW11*0.0425</f>
        <v>0</v>
      </c>
      <c r="QEY16" s="238">
        <f t="shared" ref="QEY16" si="5819">QEY11*0.0425</f>
        <v>0</v>
      </c>
      <c r="QFA16" s="238">
        <f t="shared" ref="QFA16" si="5820">QFA11*0.0425</f>
        <v>0</v>
      </c>
      <c r="QFC16" s="238">
        <f t="shared" ref="QFC16" si="5821">QFC11*0.0425</f>
        <v>0</v>
      </c>
      <c r="QFE16" s="238">
        <f t="shared" ref="QFE16" si="5822">QFE11*0.0425</f>
        <v>0</v>
      </c>
      <c r="QFG16" s="238">
        <f t="shared" ref="QFG16" si="5823">QFG11*0.0425</f>
        <v>0</v>
      </c>
      <c r="QFI16" s="238">
        <f t="shared" ref="QFI16" si="5824">QFI11*0.0425</f>
        <v>0</v>
      </c>
      <c r="QFK16" s="238">
        <f t="shared" ref="QFK16" si="5825">QFK11*0.0425</f>
        <v>0</v>
      </c>
      <c r="QFM16" s="238">
        <f t="shared" ref="QFM16" si="5826">QFM11*0.0425</f>
        <v>0</v>
      </c>
      <c r="QFO16" s="238">
        <f t="shared" ref="QFO16" si="5827">QFO11*0.0425</f>
        <v>0</v>
      </c>
      <c r="QFQ16" s="238">
        <f t="shared" ref="QFQ16" si="5828">QFQ11*0.0425</f>
        <v>0</v>
      </c>
      <c r="QFS16" s="238">
        <f t="shared" ref="QFS16" si="5829">QFS11*0.0425</f>
        <v>0</v>
      </c>
      <c r="QFU16" s="238">
        <f t="shared" ref="QFU16" si="5830">QFU11*0.0425</f>
        <v>0</v>
      </c>
      <c r="QFW16" s="238">
        <f t="shared" ref="QFW16" si="5831">QFW11*0.0425</f>
        <v>0</v>
      </c>
      <c r="QFY16" s="238">
        <f t="shared" ref="QFY16" si="5832">QFY11*0.0425</f>
        <v>0</v>
      </c>
      <c r="QGA16" s="238">
        <f t="shared" ref="QGA16" si="5833">QGA11*0.0425</f>
        <v>0</v>
      </c>
      <c r="QGC16" s="238">
        <f t="shared" ref="QGC16" si="5834">QGC11*0.0425</f>
        <v>0</v>
      </c>
      <c r="QGE16" s="238">
        <f t="shared" ref="QGE16" si="5835">QGE11*0.0425</f>
        <v>0</v>
      </c>
      <c r="QGG16" s="238">
        <f t="shared" ref="QGG16" si="5836">QGG11*0.0425</f>
        <v>0</v>
      </c>
      <c r="QGI16" s="238">
        <f t="shared" ref="QGI16" si="5837">QGI11*0.0425</f>
        <v>0</v>
      </c>
      <c r="QGK16" s="238">
        <f t="shared" ref="QGK16" si="5838">QGK11*0.0425</f>
        <v>0</v>
      </c>
      <c r="QGM16" s="238">
        <f t="shared" ref="QGM16" si="5839">QGM11*0.0425</f>
        <v>0</v>
      </c>
      <c r="QGO16" s="238">
        <f t="shared" ref="QGO16" si="5840">QGO11*0.0425</f>
        <v>0</v>
      </c>
      <c r="QGQ16" s="238">
        <f t="shared" ref="QGQ16" si="5841">QGQ11*0.0425</f>
        <v>0</v>
      </c>
      <c r="QGS16" s="238">
        <f t="shared" ref="QGS16" si="5842">QGS11*0.0425</f>
        <v>0</v>
      </c>
      <c r="QGU16" s="238">
        <f t="shared" ref="QGU16" si="5843">QGU11*0.0425</f>
        <v>0</v>
      </c>
      <c r="QGW16" s="238">
        <f t="shared" ref="QGW16" si="5844">QGW11*0.0425</f>
        <v>0</v>
      </c>
      <c r="QGY16" s="238">
        <f t="shared" ref="QGY16" si="5845">QGY11*0.0425</f>
        <v>0</v>
      </c>
      <c r="QHA16" s="238">
        <f t="shared" ref="QHA16" si="5846">QHA11*0.0425</f>
        <v>0</v>
      </c>
      <c r="QHC16" s="238">
        <f t="shared" ref="QHC16" si="5847">QHC11*0.0425</f>
        <v>0</v>
      </c>
      <c r="QHE16" s="238">
        <f t="shared" ref="QHE16" si="5848">QHE11*0.0425</f>
        <v>0</v>
      </c>
      <c r="QHG16" s="238">
        <f t="shared" ref="QHG16" si="5849">QHG11*0.0425</f>
        <v>0</v>
      </c>
      <c r="QHI16" s="238">
        <f t="shared" ref="QHI16" si="5850">QHI11*0.0425</f>
        <v>0</v>
      </c>
      <c r="QHK16" s="238">
        <f t="shared" ref="QHK16" si="5851">QHK11*0.0425</f>
        <v>0</v>
      </c>
      <c r="QHM16" s="238">
        <f t="shared" ref="QHM16" si="5852">QHM11*0.0425</f>
        <v>0</v>
      </c>
      <c r="QHO16" s="238">
        <f t="shared" ref="QHO16" si="5853">QHO11*0.0425</f>
        <v>0</v>
      </c>
      <c r="QHQ16" s="238">
        <f t="shared" ref="QHQ16" si="5854">QHQ11*0.0425</f>
        <v>0</v>
      </c>
      <c r="QHS16" s="238">
        <f t="shared" ref="QHS16" si="5855">QHS11*0.0425</f>
        <v>0</v>
      </c>
      <c r="QHU16" s="238">
        <f t="shared" ref="QHU16" si="5856">QHU11*0.0425</f>
        <v>0</v>
      </c>
      <c r="QHW16" s="238">
        <f t="shared" ref="QHW16" si="5857">QHW11*0.0425</f>
        <v>0</v>
      </c>
      <c r="QHY16" s="238">
        <f t="shared" ref="QHY16" si="5858">QHY11*0.0425</f>
        <v>0</v>
      </c>
      <c r="QIA16" s="238">
        <f t="shared" ref="QIA16" si="5859">QIA11*0.0425</f>
        <v>0</v>
      </c>
      <c r="QIC16" s="238">
        <f t="shared" ref="QIC16" si="5860">QIC11*0.0425</f>
        <v>0</v>
      </c>
      <c r="QIE16" s="238">
        <f t="shared" ref="QIE16" si="5861">QIE11*0.0425</f>
        <v>0</v>
      </c>
      <c r="QIG16" s="238">
        <f t="shared" ref="QIG16" si="5862">QIG11*0.0425</f>
        <v>0</v>
      </c>
      <c r="QII16" s="238">
        <f t="shared" ref="QII16" si="5863">QII11*0.0425</f>
        <v>0</v>
      </c>
      <c r="QIK16" s="238">
        <f t="shared" ref="QIK16" si="5864">QIK11*0.0425</f>
        <v>0</v>
      </c>
      <c r="QIM16" s="238">
        <f t="shared" ref="QIM16" si="5865">QIM11*0.0425</f>
        <v>0</v>
      </c>
      <c r="QIO16" s="238">
        <f t="shared" ref="QIO16" si="5866">QIO11*0.0425</f>
        <v>0</v>
      </c>
      <c r="QIQ16" s="238">
        <f t="shared" ref="QIQ16" si="5867">QIQ11*0.0425</f>
        <v>0</v>
      </c>
      <c r="QIS16" s="238">
        <f t="shared" ref="QIS16" si="5868">QIS11*0.0425</f>
        <v>0</v>
      </c>
      <c r="QIU16" s="238">
        <f t="shared" ref="QIU16" si="5869">QIU11*0.0425</f>
        <v>0</v>
      </c>
      <c r="QIW16" s="238">
        <f t="shared" ref="QIW16" si="5870">QIW11*0.0425</f>
        <v>0</v>
      </c>
      <c r="QIY16" s="238">
        <f t="shared" ref="QIY16" si="5871">QIY11*0.0425</f>
        <v>0</v>
      </c>
      <c r="QJA16" s="238">
        <f t="shared" ref="QJA16" si="5872">QJA11*0.0425</f>
        <v>0</v>
      </c>
      <c r="QJC16" s="238">
        <f t="shared" ref="QJC16" si="5873">QJC11*0.0425</f>
        <v>0</v>
      </c>
      <c r="QJE16" s="238">
        <f t="shared" ref="QJE16" si="5874">QJE11*0.0425</f>
        <v>0</v>
      </c>
      <c r="QJG16" s="238">
        <f t="shared" ref="QJG16" si="5875">QJG11*0.0425</f>
        <v>0</v>
      </c>
      <c r="QJI16" s="238">
        <f t="shared" ref="QJI16" si="5876">QJI11*0.0425</f>
        <v>0</v>
      </c>
      <c r="QJK16" s="238">
        <f t="shared" ref="QJK16" si="5877">QJK11*0.0425</f>
        <v>0</v>
      </c>
      <c r="QJM16" s="238">
        <f t="shared" ref="QJM16" si="5878">QJM11*0.0425</f>
        <v>0</v>
      </c>
      <c r="QJO16" s="238">
        <f t="shared" ref="QJO16" si="5879">QJO11*0.0425</f>
        <v>0</v>
      </c>
      <c r="QJQ16" s="238">
        <f t="shared" ref="QJQ16" si="5880">QJQ11*0.0425</f>
        <v>0</v>
      </c>
      <c r="QJS16" s="238">
        <f t="shared" ref="QJS16" si="5881">QJS11*0.0425</f>
        <v>0</v>
      </c>
      <c r="QJU16" s="238">
        <f t="shared" ref="QJU16" si="5882">QJU11*0.0425</f>
        <v>0</v>
      </c>
      <c r="QJW16" s="238">
        <f t="shared" ref="QJW16" si="5883">QJW11*0.0425</f>
        <v>0</v>
      </c>
      <c r="QJY16" s="238">
        <f t="shared" ref="QJY16" si="5884">QJY11*0.0425</f>
        <v>0</v>
      </c>
      <c r="QKA16" s="238">
        <f t="shared" ref="QKA16" si="5885">QKA11*0.0425</f>
        <v>0</v>
      </c>
      <c r="QKC16" s="238">
        <f t="shared" ref="QKC16" si="5886">QKC11*0.0425</f>
        <v>0</v>
      </c>
      <c r="QKE16" s="238">
        <f t="shared" ref="QKE16" si="5887">QKE11*0.0425</f>
        <v>0</v>
      </c>
      <c r="QKG16" s="238">
        <f t="shared" ref="QKG16" si="5888">QKG11*0.0425</f>
        <v>0</v>
      </c>
      <c r="QKI16" s="238">
        <f t="shared" ref="QKI16" si="5889">QKI11*0.0425</f>
        <v>0</v>
      </c>
      <c r="QKK16" s="238">
        <f t="shared" ref="QKK16" si="5890">QKK11*0.0425</f>
        <v>0</v>
      </c>
      <c r="QKM16" s="238">
        <f t="shared" ref="QKM16" si="5891">QKM11*0.0425</f>
        <v>0</v>
      </c>
      <c r="QKO16" s="238">
        <f t="shared" ref="QKO16" si="5892">QKO11*0.0425</f>
        <v>0</v>
      </c>
      <c r="QKQ16" s="238">
        <f t="shared" ref="QKQ16" si="5893">QKQ11*0.0425</f>
        <v>0</v>
      </c>
      <c r="QKS16" s="238">
        <f t="shared" ref="QKS16" si="5894">QKS11*0.0425</f>
        <v>0</v>
      </c>
      <c r="QKU16" s="238">
        <f t="shared" ref="QKU16" si="5895">QKU11*0.0425</f>
        <v>0</v>
      </c>
      <c r="QKW16" s="238">
        <f t="shared" ref="QKW16" si="5896">QKW11*0.0425</f>
        <v>0</v>
      </c>
      <c r="QKY16" s="238">
        <f t="shared" ref="QKY16" si="5897">QKY11*0.0425</f>
        <v>0</v>
      </c>
      <c r="QLA16" s="238">
        <f t="shared" ref="QLA16" si="5898">QLA11*0.0425</f>
        <v>0</v>
      </c>
      <c r="QLC16" s="238">
        <f t="shared" ref="QLC16" si="5899">QLC11*0.0425</f>
        <v>0</v>
      </c>
      <c r="QLE16" s="238">
        <f t="shared" ref="QLE16" si="5900">QLE11*0.0425</f>
        <v>0</v>
      </c>
      <c r="QLG16" s="238">
        <f t="shared" ref="QLG16" si="5901">QLG11*0.0425</f>
        <v>0</v>
      </c>
      <c r="QLI16" s="238">
        <f t="shared" ref="QLI16" si="5902">QLI11*0.0425</f>
        <v>0</v>
      </c>
      <c r="QLK16" s="238">
        <f t="shared" ref="QLK16" si="5903">QLK11*0.0425</f>
        <v>0</v>
      </c>
      <c r="QLM16" s="238">
        <f t="shared" ref="QLM16" si="5904">QLM11*0.0425</f>
        <v>0</v>
      </c>
      <c r="QLO16" s="238">
        <f t="shared" ref="QLO16" si="5905">QLO11*0.0425</f>
        <v>0</v>
      </c>
      <c r="QLQ16" s="238">
        <f t="shared" ref="QLQ16" si="5906">QLQ11*0.0425</f>
        <v>0</v>
      </c>
      <c r="QLS16" s="238">
        <f t="shared" ref="QLS16" si="5907">QLS11*0.0425</f>
        <v>0</v>
      </c>
      <c r="QLU16" s="238">
        <f t="shared" ref="QLU16" si="5908">QLU11*0.0425</f>
        <v>0</v>
      </c>
      <c r="QLW16" s="238">
        <f t="shared" ref="QLW16" si="5909">QLW11*0.0425</f>
        <v>0</v>
      </c>
      <c r="QLY16" s="238">
        <f t="shared" ref="QLY16" si="5910">QLY11*0.0425</f>
        <v>0</v>
      </c>
      <c r="QMA16" s="238">
        <f t="shared" ref="QMA16" si="5911">QMA11*0.0425</f>
        <v>0</v>
      </c>
      <c r="QMC16" s="238">
        <f t="shared" ref="QMC16" si="5912">QMC11*0.0425</f>
        <v>0</v>
      </c>
      <c r="QME16" s="238">
        <f t="shared" ref="QME16" si="5913">QME11*0.0425</f>
        <v>0</v>
      </c>
      <c r="QMG16" s="238">
        <f t="shared" ref="QMG16" si="5914">QMG11*0.0425</f>
        <v>0</v>
      </c>
      <c r="QMI16" s="238">
        <f t="shared" ref="QMI16" si="5915">QMI11*0.0425</f>
        <v>0</v>
      </c>
      <c r="QMK16" s="238">
        <f t="shared" ref="QMK16" si="5916">QMK11*0.0425</f>
        <v>0</v>
      </c>
      <c r="QMM16" s="238">
        <f t="shared" ref="QMM16" si="5917">QMM11*0.0425</f>
        <v>0</v>
      </c>
      <c r="QMO16" s="238">
        <f t="shared" ref="QMO16" si="5918">QMO11*0.0425</f>
        <v>0</v>
      </c>
      <c r="QMQ16" s="238">
        <f t="shared" ref="QMQ16" si="5919">QMQ11*0.0425</f>
        <v>0</v>
      </c>
      <c r="QMS16" s="238">
        <f t="shared" ref="QMS16" si="5920">QMS11*0.0425</f>
        <v>0</v>
      </c>
      <c r="QMU16" s="238">
        <f t="shared" ref="QMU16" si="5921">QMU11*0.0425</f>
        <v>0</v>
      </c>
      <c r="QMW16" s="238">
        <f t="shared" ref="QMW16" si="5922">QMW11*0.0425</f>
        <v>0</v>
      </c>
      <c r="QMY16" s="238">
        <f t="shared" ref="QMY16" si="5923">QMY11*0.0425</f>
        <v>0</v>
      </c>
      <c r="QNA16" s="238">
        <f t="shared" ref="QNA16" si="5924">QNA11*0.0425</f>
        <v>0</v>
      </c>
      <c r="QNC16" s="238">
        <f t="shared" ref="QNC16" si="5925">QNC11*0.0425</f>
        <v>0</v>
      </c>
      <c r="QNE16" s="238">
        <f t="shared" ref="QNE16" si="5926">QNE11*0.0425</f>
        <v>0</v>
      </c>
      <c r="QNG16" s="238">
        <f t="shared" ref="QNG16" si="5927">QNG11*0.0425</f>
        <v>0</v>
      </c>
      <c r="QNI16" s="238">
        <f t="shared" ref="QNI16" si="5928">QNI11*0.0425</f>
        <v>0</v>
      </c>
      <c r="QNK16" s="238">
        <f t="shared" ref="QNK16" si="5929">QNK11*0.0425</f>
        <v>0</v>
      </c>
      <c r="QNM16" s="238">
        <f t="shared" ref="QNM16" si="5930">QNM11*0.0425</f>
        <v>0</v>
      </c>
      <c r="QNO16" s="238">
        <f t="shared" ref="QNO16" si="5931">QNO11*0.0425</f>
        <v>0</v>
      </c>
      <c r="QNQ16" s="238">
        <f t="shared" ref="QNQ16" si="5932">QNQ11*0.0425</f>
        <v>0</v>
      </c>
      <c r="QNS16" s="238">
        <f t="shared" ref="QNS16" si="5933">QNS11*0.0425</f>
        <v>0</v>
      </c>
      <c r="QNU16" s="238">
        <f t="shared" ref="QNU16" si="5934">QNU11*0.0425</f>
        <v>0</v>
      </c>
      <c r="QNW16" s="238">
        <f t="shared" ref="QNW16" si="5935">QNW11*0.0425</f>
        <v>0</v>
      </c>
      <c r="QNY16" s="238">
        <f t="shared" ref="QNY16" si="5936">QNY11*0.0425</f>
        <v>0</v>
      </c>
      <c r="QOA16" s="238">
        <f t="shared" ref="QOA16" si="5937">QOA11*0.0425</f>
        <v>0</v>
      </c>
      <c r="QOC16" s="238">
        <f t="shared" ref="QOC16" si="5938">QOC11*0.0425</f>
        <v>0</v>
      </c>
      <c r="QOE16" s="238">
        <f t="shared" ref="QOE16" si="5939">QOE11*0.0425</f>
        <v>0</v>
      </c>
      <c r="QOG16" s="238">
        <f t="shared" ref="QOG16" si="5940">QOG11*0.0425</f>
        <v>0</v>
      </c>
      <c r="QOI16" s="238">
        <f t="shared" ref="QOI16" si="5941">QOI11*0.0425</f>
        <v>0</v>
      </c>
      <c r="QOK16" s="238">
        <f t="shared" ref="QOK16" si="5942">QOK11*0.0425</f>
        <v>0</v>
      </c>
      <c r="QOM16" s="238">
        <f t="shared" ref="QOM16" si="5943">QOM11*0.0425</f>
        <v>0</v>
      </c>
      <c r="QOO16" s="238">
        <f t="shared" ref="QOO16" si="5944">QOO11*0.0425</f>
        <v>0</v>
      </c>
      <c r="QOQ16" s="238">
        <f t="shared" ref="QOQ16" si="5945">QOQ11*0.0425</f>
        <v>0</v>
      </c>
      <c r="QOS16" s="238">
        <f t="shared" ref="QOS16" si="5946">QOS11*0.0425</f>
        <v>0</v>
      </c>
      <c r="QOU16" s="238">
        <f t="shared" ref="QOU16" si="5947">QOU11*0.0425</f>
        <v>0</v>
      </c>
      <c r="QOW16" s="238">
        <f t="shared" ref="QOW16" si="5948">QOW11*0.0425</f>
        <v>0</v>
      </c>
      <c r="QOY16" s="238">
        <f t="shared" ref="QOY16" si="5949">QOY11*0.0425</f>
        <v>0</v>
      </c>
      <c r="QPA16" s="238">
        <f t="shared" ref="QPA16" si="5950">QPA11*0.0425</f>
        <v>0</v>
      </c>
      <c r="QPC16" s="238">
        <f t="shared" ref="QPC16" si="5951">QPC11*0.0425</f>
        <v>0</v>
      </c>
      <c r="QPE16" s="238">
        <f t="shared" ref="QPE16" si="5952">QPE11*0.0425</f>
        <v>0</v>
      </c>
      <c r="QPG16" s="238">
        <f t="shared" ref="QPG16" si="5953">QPG11*0.0425</f>
        <v>0</v>
      </c>
      <c r="QPI16" s="238">
        <f t="shared" ref="QPI16" si="5954">QPI11*0.0425</f>
        <v>0</v>
      </c>
      <c r="QPK16" s="238">
        <f t="shared" ref="QPK16" si="5955">QPK11*0.0425</f>
        <v>0</v>
      </c>
      <c r="QPM16" s="238">
        <f t="shared" ref="QPM16" si="5956">QPM11*0.0425</f>
        <v>0</v>
      </c>
      <c r="QPO16" s="238">
        <f t="shared" ref="QPO16" si="5957">QPO11*0.0425</f>
        <v>0</v>
      </c>
      <c r="QPQ16" s="238">
        <f t="shared" ref="QPQ16" si="5958">QPQ11*0.0425</f>
        <v>0</v>
      </c>
      <c r="QPS16" s="238">
        <f t="shared" ref="QPS16" si="5959">QPS11*0.0425</f>
        <v>0</v>
      </c>
      <c r="QPU16" s="238">
        <f t="shared" ref="QPU16" si="5960">QPU11*0.0425</f>
        <v>0</v>
      </c>
      <c r="QPW16" s="238">
        <f t="shared" ref="QPW16" si="5961">QPW11*0.0425</f>
        <v>0</v>
      </c>
      <c r="QPY16" s="238">
        <f t="shared" ref="QPY16" si="5962">QPY11*0.0425</f>
        <v>0</v>
      </c>
      <c r="QQA16" s="238">
        <f t="shared" ref="QQA16" si="5963">QQA11*0.0425</f>
        <v>0</v>
      </c>
      <c r="QQC16" s="238">
        <f t="shared" ref="QQC16" si="5964">QQC11*0.0425</f>
        <v>0</v>
      </c>
      <c r="QQE16" s="238">
        <f t="shared" ref="QQE16" si="5965">QQE11*0.0425</f>
        <v>0</v>
      </c>
      <c r="QQG16" s="238">
        <f t="shared" ref="QQG16" si="5966">QQG11*0.0425</f>
        <v>0</v>
      </c>
      <c r="QQI16" s="238">
        <f t="shared" ref="QQI16" si="5967">QQI11*0.0425</f>
        <v>0</v>
      </c>
      <c r="QQK16" s="238">
        <f t="shared" ref="QQK16" si="5968">QQK11*0.0425</f>
        <v>0</v>
      </c>
      <c r="QQM16" s="238">
        <f t="shared" ref="QQM16" si="5969">QQM11*0.0425</f>
        <v>0</v>
      </c>
      <c r="QQO16" s="238">
        <f t="shared" ref="QQO16" si="5970">QQO11*0.0425</f>
        <v>0</v>
      </c>
      <c r="QQQ16" s="238">
        <f t="shared" ref="QQQ16" si="5971">QQQ11*0.0425</f>
        <v>0</v>
      </c>
      <c r="QQS16" s="238">
        <f t="shared" ref="QQS16" si="5972">QQS11*0.0425</f>
        <v>0</v>
      </c>
      <c r="QQU16" s="238">
        <f t="shared" ref="QQU16" si="5973">QQU11*0.0425</f>
        <v>0</v>
      </c>
      <c r="QQW16" s="238">
        <f t="shared" ref="QQW16" si="5974">QQW11*0.0425</f>
        <v>0</v>
      </c>
      <c r="QQY16" s="238">
        <f t="shared" ref="QQY16" si="5975">QQY11*0.0425</f>
        <v>0</v>
      </c>
      <c r="QRA16" s="238">
        <f t="shared" ref="QRA16" si="5976">QRA11*0.0425</f>
        <v>0</v>
      </c>
      <c r="QRC16" s="238">
        <f t="shared" ref="QRC16" si="5977">QRC11*0.0425</f>
        <v>0</v>
      </c>
      <c r="QRE16" s="238">
        <f t="shared" ref="QRE16" si="5978">QRE11*0.0425</f>
        <v>0</v>
      </c>
      <c r="QRG16" s="238">
        <f t="shared" ref="QRG16" si="5979">QRG11*0.0425</f>
        <v>0</v>
      </c>
      <c r="QRI16" s="238">
        <f t="shared" ref="QRI16" si="5980">QRI11*0.0425</f>
        <v>0</v>
      </c>
      <c r="QRK16" s="238">
        <f t="shared" ref="QRK16" si="5981">QRK11*0.0425</f>
        <v>0</v>
      </c>
      <c r="QRM16" s="238">
        <f t="shared" ref="QRM16" si="5982">QRM11*0.0425</f>
        <v>0</v>
      </c>
      <c r="QRO16" s="238">
        <f t="shared" ref="QRO16" si="5983">QRO11*0.0425</f>
        <v>0</v>
      </c>
      <c r="QRQ16" s="238">
        <f t="shared" ref="QRQ16" si="5984">QRQ11*0.0425</f>
        <v>0</v>
      </c>
      <c r="QRS16" s="238">
        <f t="shared" ref="QRS16" si="5985">QRS11*0.0425</f>
        <v>0</v>
      </c>
      <c r="QRU16" s="238">
        <f t="shared" ref="QRU16" si="5986">QRU11*0.0425</f>
        <v>0</v>
      </c>
      <c r="QRW16" s="238">
        <f t="shared" ref="QRW16" si="5987">QRW11*0.0425</f>
        <v>0</v>
      </c>
      <c r="QRY16" s="238">
        <f t="shared" ref="QRY16" si="5988">QRY11*0.0425</f>
        <v>0</v>
      </c>
      <c r="QSA16" s="238">
        <f t="shared" ref="QSA16" si="5989">QSA11*0.0425</f>
        <v>0</v>
      </c>
      <c r="QSC16" s="238">
        <f t="shared" ref="QSC16" si="5990">QSC11*0.0425</f>
        <v>0</v>
      </c>
      <c r="QSE16" s="238">
        <f t="shared" ref="QSE16" si="5991">QSE11*0.0425</f>
        <v>0</v>
      </c>
      <c r="QSG16" s="238">
        <f t="shared" ref="QSG16" si="5992">QSG11*0.0425</f>
        <v>0</v>
      </c>
      <c r="QSI16" s="238">
        <f t="shared" ref="QSI16" si="5993">QSI11*0.0425</f>
        <v>0</v>
      </c>
      <c r="QSK16" s="238">
        <f t="shared" ref="QSK16" si="5994">QSK11*0.0425</f>
        <v>0</v>
      </c>
      <c r="QSM16" s="238">
        <f t="shared" ref="QSM16" si="5995">QSM11*0.0425</f>
        <v>0</v>
      </c>
      <c r="QSO16" s="238">
        <f t="shared" ref="QSO16" si="5996">QSO11*0.0425</f>
        <v>0</v>
      </c>
      <c r="QSQ16" s="238">
        <f t="shared" ref="QSQ16" si="5997">QSQ11*0.0425</f>
        <v>0</v>
      </c>
      <c r="QSS16" s="238">
        <f t="shared" ref="QSS16" si="5998">QSS11*0.0425</f>
        <v>0</v>
      </c>
      <c r="QSU16" s="238">
        <f t="shared" ref="QSU16" si="5999">QSU11*0.0425</f>
        <v>0</v>
      </c>
      <c r="QSW16" s="238">
        <f t="shared" ref="QSW16" si="6000">QSW11*0.0425</f>
        <v>0</v>
      </c>
      <c r="QSY16" s="238">
        <f t="shared" ref="QSY16" si="6001">QSY11*0.0425</f>
        <v>0</v>
      </c>
      <c r="QTA16" s="238">
        <f t="shared" ref="QTA16" si="6002">QTA11*0.0425</f>
        <v>0</v>
      </c>
      <c r="QTC16" s="238">
        <f t="shared" ref="QTC16" si="6003">QTC11*0.0425</f>
        <v>0</v>
      </c>
      <c r="QTE16" s="238">
        <f t="shared" ref="QTE16" si="6004">QTE11*0.0425</f>
        <v>0</v>
      </c>
      <c r="QTG16" s="238">
        <f t="shared" ref="QTG16" si="6005">QTG11*0.0425</f>
        <v>0</v>
      </c>
      <c r="QTI16" s="238">
        <f t="shared" ref="QTI16" si="6006">QTI11*0.0425</f>
        <v>0</v>
      </c>
      <c r="QTK16" s="238">
        <f t="shared" ref="QTK16" si="6007">QTK11*0.0425</f>
        <v>0</v>
      </c>
      <c r="QTM16" s="238">
        <f t="shared" ref="QTM16" si="6008">QTM11*0.0425</f>
        <v>0</v>
      </c>
      <c r="QTO16" s="238">
        <f t="shared" ref="QTO16" si="6009">QTO11*0.0425</f>
        <v>0</v>
      </c>
      <c r="QTQ16" s="238">
        <f t="shared" ref="QTQ16" si="6010">QTQ11*0.0425</f>
        <v>0</v>
      </c>
      <c r="QTS16" s="238">
        <f t="shared" ref="QTS16" si="6011">QTS11*0.0425</f>
        <v>0</v>
      </c>
      <c r="QTU16" s="238">
        <f t="shared" ref="QTU16" si="6012">QTU11*0.0425</f>
        <v>0</v>
      </c>
      <c r="QTW16" s="238">
        <f t="shared" ref="QTW16" si="6013">QTW11*0.0425</f>
        <v>0</v>
      </c>
      <c r="QTY16" s="238">
        <f t="shared" ref="QTY16" si="6014">QTY11*0.0425</f>
        <v>0</v>
      </c>
      <c r="QUA16" s="238">
        <f t="shared" ref="QUA16" si="6015">QUA11*0.0425</f>
        <v>0</v>
      </c>
      <c r="QUC16" s="238">
        <f t="shared" ref="QUC16" si="6016">QUC11*0.0425</f>
        <v>0</v>
      </c>
      <c r="QUE16" s="238">
        <f t="shared" ref="QUE16" si="6017">QUE11*0.0425</f>
        <v>0</v>
      </c>
      <c r="QUG16" s="238">
        <f t="shared" ref="QUG16" si="6018">QUG11*0.0425</f>
        <v>0</v>
      </c>
      <c r="QUI16" s="238">
        <f t="shared" ref="QUI16" si="6019">QUI11*0.0425</f>
        <v>0</v>
      </c>
      <c r="QUK16" s="238">
        <f t="shared" ref="QUK16" si="6020">QUK11*0.0425</f>
        <v>0</v>
      </c>
      <c r="QUM16" s="238">
        <f t="shared" ref="QUM16" si="6021">QUM11*0.0425</f>
        <v>0</v>
      </c>
      <c r="QUO16" s="238">
        <f t="shared" ref="QUO16" si="6022">QUO11*0.0425</f>
        <v>0</v>
      </c>
      <c r="QUQ16" s="238">
        <f t="shared" ref="QUQ16" si="6023">QUQ11*0.0425</f>
        <v>0</v>
      </c>
      <c r="QUS16" s="238">
        <f t="shared" ref="QUS16" si="6024">QUS11*0.0425</f>
        <v>0</v>
      </c>
      <c r="QUU16" s="238">
        <f t="shared" ref="QUU16" si="6025">QUU11*0.0425</f>
        <v>0</v>
      </c>
      <c r="QUW16" s="238">
        <f t="shared" ref="QUW16" si="6026">QUW11*0.0425</f>
        <v>0</v>
      </c>
      <c r="QUY16" s="238">
        <f t="shared" ref="QUY16" si="6027">QUY11*0.0425</f>
        <v>0</v>
      </c>
      <c r="QVA16" s="238">
        <f t="shared" ref="QVA16" si="6028">QVA11*0.0425</f>
        <v>0</v>
      </c>
      <c r="QVC16" s="238">
        <f t="shared" ref="QVC16" si="6029">QVC11*0.0425</f>
        <v>0</v>
      </c>
      <c r="QVE16" s="238">
        <f t="shared" ref="QVE16" si="6030">QVE11*0.0425</f>
        <v>0</v>
      </c>
      <c r="QVG16" s="238">
        <f t="shared" ref="QVG16" si="6031">QVG11*0.0425</f>
        <v>0</v>
      </c>
      <c r="QVI16" s="238">
        <f t="shared" ref="QVI16" si="6032">QVI11*0.0425</f>
        <v>0</v>
      </c>
      <c r="QVK16" s="238">
        <f t="shared" ref="QVK16" si="6033">QVK11*0.0425</f>
        <v>0</v>
      </c>
      <c r="QVM16" s="238">
        <f t="shared" ref="QVM16" si="6034">QVM11*0.0425</f>
        <v>0</v>
      </c>
      <c r="QVO16" s="238">
        <f t="shared" ref="QVO16" si="6035">QVO11*0.0425</f>
        <v>0</v>
      </c>
      <c r="QVQ16" s="238">
        <f t="shared" ref="QVQ16" si="6036">QVQ11*0.0425</f>
        <v>0</v>
      </c>
      <c r="QVS16" s="238">
        <f t="shared" ref="QVS16" si="6037">QVS11*0.0425</f>
        <v>0</v>
      </c>
      <c r="QVU16" s="238">
        <f t="shared" ref="QVU16" si="6038">QVU11*0.0425</f>
        <v>0</v>
      </c>
      <c r="QVW16" s="238">
        <f t="shared" ref="QVW16" si="6039">QVW11*0.0425</f>
        <v>0</v>
      </c>
      <c r="QVY16" s="238">
        <f t="shared" ref="QVY16" si="6040">QVY11*0.0425</f>
        <v>0</v>
      </c>
      <c r="QWA16" s="238">
        <f t="shared" ref="QWA16" si="6041">QWA11*0.0425</f>
        <v>0</v>
      </c>
      <c r="QWC16" s="238">
        <f t="shared" ref="QWC16" si="6042">QWC11*0.0425</f>
        <v>0</v>
      </c>
      <c r="QWE16" s="238">
        <f t="shared" ref="QWE16" si="6043">QWE11*0.0425</f>
        <v>0</v>
      </c>
      <c r="QWG16" s="238">
        <f t="shared" ref="QWG16" si="6044">QWG11*0.0425</f>
        <v>0</v>
      </c>
      <c r="QWI16" s="238">
        <f t="shared" ref="QWI16" si="6045">QWI11*0.0425</f>
        <v>0</v>
      </c>
      <c r="QWK16" s="238">
        <f t="shared" ref="QWK16" si="6046">QWK11*0.0425</f>
        <v>0</v>
      </c>
      <c r="QWM16" s="238">
        <f t="shared" ref="QWM16" si="6047">QWM11*0.0425</f>
        <v>0</v>
      </c>
      <c r="QWO16" s="238">
        <f t="shared" ref="QWO16" si="6048">QWO11*0.0425</f>
        <v>0</v>
      </c>
      <c r="QWQ16" s="238">
        <f t="shared" ref="QWQ16" si="6049">QWQ11*0.0425</f>
        <v>0</v>
      </c>
      <c r="QWS16" s="238">
        <f t="shared" ref="QWS16" si="6050">QWS11*0.0425</f>
        <v>0</v>
      </c>
      <c r="QWU16" s="238">
        <f t="shared" ref="QWU16" si="6051">QWU11*0.0425</f>
        <v>0</v>
      </c>
      <c r="QWW16" s="238">
        <f t="shared" ref="QWW16" si="6052">QWW11*0.0425</f>
        <v>0</v>
      </c>
      <c r="QWY16" s="238">
        <f t="shared" ref="QWY16" si="6053">QWY11*0.0425</f>
        <v>0</v>
      </c>
      <c r="QXA16" s="238">
        <f t="shared" ref="QXA16" si="6054">QXA11*0.0425</f>
        <v>0</v>
      </c>
      <c r="QXC16" s="238">
        <f t="shared" ref="QXC16" si="6055">QXC11*0.0425</f>
        <v>0</v>
      </c>
      <c r="QXE16" s="238">
        <f t="shared" ref="QXE16" si="6056">QXE11*0.0425</f>
        <v>0</v>
      </c>
      <c r="QXG16" s="238">
        <f t="shared" ref="QXG16" si="6057">QXG11*0.0425</f>
        <v>0</v>
      </c>
      <c r="QXI16" s="238">
        <f t="shared" ref="QXI16" si="6058">QXI11*0.0425</f>
        <v>0</v>
      </c>
      <c r="QXK16" s="238">
        <f t="shared" ref="QXK16" si="6059">QXK11*0.0425</f>
        <v>0</v>
      </c>
      <c r="QXM16" s="238">
        <f t="shared" ref="QXM16" si="6060">QXM11*0.0425</f>
        <v>0</v>
      </c>
      <c r="QXO16" s="238">
        <f t="shared" ref="QXO16" si="6061">QXO11*0.0425</f>
        <v>0</v>
      </c>
      <c r="QXQ16" s="238">
        <f t="shared" ref="QXQ16" si="6062">QXQ11*0.0425</f>
        <v>0</v>
      </c>
      <c r="QXS16" s="238">
        <f t="shared" ref="QXS16" si="6063">QXS11*0.0425</f>
        <v>0</v>
      </c>
      <c r="QXU16" s="238">
        <f t="shared" ref="QXU16" si="6064">QXU11*0.0425</f>
        <v>0</v>
      </c>
      <c r="QXW16" s="238">
        <f t="shared" ref="QXW16" si="6065">QXW11*0.0425</f>
        <v>0</v>
      </c>
      <c r="QXY16" s="238">
        <f t="shared" ref="QXY16" si="6066">QXY11*0.0425</f>
        <v>0</v>
      </c>
      <c r="QYA16" s="238">
        <f t="shared" ref="QYA16" si="6067">QYA11*0.0425</f>
        <v>0</v>
      </c>
      <c r="QYC16" s="238">
        <f t="shared" ref="QYC16" si="6068">QYC11*0.0425</f>
        <v>0</v>
      </c>
      <c r="QYE16" s="238">
        <f t="shared" ref="QYE16" si="6069">QYE11*0.0425</f>
        <v>0</v>
      </c>
      <c r="QYG16" s="238">
        <f t="shared" ref="QYG16" si="6070">QYG11*0.0425</f>
        <v>0</v>
      </c>
      <c r="QYI16" s="238">
        <f t="shared" ref="QYI16" si="6071">QYI11*0.0425</f>
        <v>0</v>
      </c>
      <c r="QYK16" s="238">
        <f t="shared" ref="QYK16" si="6072">QYK11*0.0425</f>
        <v>0</v>
      </c>
      <c r="QYM16" s="238">
        <f t="shared" ref="QYM16" si="6073">QYM11*0.0425</f>
        <v>0</v>
      </c>
      <c r="QYO16" s="238">
        <f t="shared" ref="QYO16" si="6074">QYO11*0.0425</f>
        <v>0</v>
      </c>
      <c r="QYQ16" s="238">
        <f t="shared" ref="QYQ16" si="6075">QYQ11*0.0425</f>
        <v>0</v>
      </c>
      <c r="QYS16" s="238">
        <f t="shared" ref="QYS16" si="6076">QYS11*0.0425</f>
        <v>0</v>
      </c>
      <c r="QYU16" s="238">
        <f t="shared" ref="QYU16" si="6077">QYU11*0.0425</f>
        <v>0</v>
      </c>
      <c r="QYW16" s="238">
        <f t="shared" ref="QYW16" si="6078">QYW11*0.0425</f>
        <v>0</v>
      </c>
      <c r="QYY16" s="238">
        <f t="shared" ref="QYY16" si="6079">QYY11*0.0425</f>
        <v>0</v>
      </c>
      <c r="QZA16" s="238">
        <f t="shared" ref="QZA16" si="6080">QZA11*0.0425</f>
        <v>0</v>
      </c>
      <c r="QZC16" s="238">
        <f t="shared" ref="QZC16" si="6081">QZC11*0.0425</f>
        <v>0</v>
      </c>
      <c r="QZE16" s="238">
        <f t="shared" ref="QZE16" si="6082">QZE11*0.0425</f>
        <v>0</v>
      </c>
      <c r="QZG16" s="238">
        <f t="shared" ref="QZG16" si="6083">QZG11*0.0425</f>
        <v>0</v>
      </c>
      <c r="QZI16" s="238">
        <f t="shared" ref="QZI16" si="6084">QZI11*0.0425</f>
        <v>0</v>
      </c>
      <c r="QZK16" s="238">
        <f t="shared" ref="QZK16" si="6085">QZK11*0.0425</f>
        <v>0</v>
      </c>
      <c r="QZM16" s="238">
        <f t="shared" ref="QZM16" si="6086">QZM11*0.0425</f>
        <v>0</v>
      </c>
      <c r="QZO16" s="238">
        <f t="shared" ref="QZO16" si="6087">QZO11*0.0425</f>
        <v>0</v>
      </c>
      <c r="QZQ16" s="238">
        <f t="shared" ref="QZQ16" si="6088">QZQ11*0.0425</f>
        <v>0</v>
      </c>
      <c r="QZS16" s="238">
        <f t="shared" ref="QZS16" si="6089">QZS11*0.0425</f>
        <v>0</v>
      </c>
      <c r="QZU16" s="238">
        <f t="shared" ref="QZU16" si="6090">QZU11*0.0425</f>
        <v>0</v>
      </c>
      <c r="QZW16" s="238">
        <f t="shared" ref="QZW16" si="6091">QZW11*0.0425</f>
        <v>0</v>
      </c>
      <c r="QZY16" s="238">
        <f t="shared" ref="QZY16" si="6092">QZY11*0.0425</f>
        <v>0</v>
      </c>
      <c r="RAA16" s="238">
        <f t="shared" ref="RAA16" si="6093">RAA11*0.0425</f>
        <v>0</v>
      </c>
      <c r="RAC16" s="238">
        <f t="shared" ref="RAC16" si="6094">RAC11*0.0425</f>
        <v>0</v>
      </c>
      <c r="RAE16" s="238">
        <f t="shared" ref="RAE16" si="6095">RAE11*0.0425</f>
        <v>0</v>
      </c>
      <c r="RAG16" s="238">
        <f t="shared" ref="RAG16" si="6096">RAG11*0.0425</f>
        <v>0</v>
      </c>
      <c r="RAI16" s="238">
        <f t="shared" ref="RAI16" si="6097">RAI11*0.0425</f>
        <v>0</v>
      </c>
      <c r="RAK16" s="238">
        <f t="shared" ref="RAK16" si="6098">RAK11*0.0425</f>
        <v>0</v>
      </c>
      <c r="RAM16" s="238">
        <f t="shared" ref="RAM16" si="6099">RAM11*0.0425</f>
        <v>0</v>
      </c>
      <c r="RAO16" s="238">
        <f t="shared" ref="RAO16" si="6100">RAO11*0.0425</f>
        <v>0</v>
      </c>
      <c r="RAQ16" s="238">
        <f t="shared" ref="RAQ16" si="6101">RAQ11*0.0425</f>
        <v>0</v>
      </c>
      <c r="RAS16" s="238">
        <f t="shared" ref="RAS16" si="6102">RAS11*0.0425</f>
        <v>0</v>
      </c>
      <c r="RAU16" s="238">
        <f t="shared" ref="RAU16" si="6103">RAU11*0.0425</f>
        <v>0</v>
      </c>
      <c r="RAW16" s="238">
        <f t="shared" ref="RAW16" si="6104">RAW11*0.0425</f>
        <v>0</v>
      </c>
      <c r="RAY16" s="238">
        <f t="shared" ref="RAY16" si="6105">RAY11*0.0425</f>
        <v>0</v>
      </c>
      <c r="RBA16" s="238">
        <f t="shared" ref="RBA16" si="6106">RBA11*0.0425</f>
        <v>0</v>
      </c>
      <c r="RBC16" s="238">
        <f t="shared" ref="RBC16" si="6107">RBC11*0.0425</f>
        <v>0</v>
      </c>
      <c r="RBE16" s="238">
        <f t="shared" ref="RBE16" si="6108">RBE11*0.0425</f>
        <v>0</v>
      </c>
      <c r="RBG16" s="238">
        <f t="shared" ref="RBG16" si="6109">RBG11*0.0425</f>
        <v>0</v>
      </c>
      <c r="RBI16" s="238">
        <f t="shared" ref="RBI16" si="6110">RBI11*0.0425</f>
        <v>0</v>
      </c>
      <c r="RBK16" s="238">
        <f t="shared" ref="RBK16" si="6111">RBK11*0.0425</f>
        <v>0</v>
      </c>
      <c r="RBM16" s="238">
        <f t="shared" ref="RBM16" si="6112">RBM11*0.0425</f>
        <v>0</v>
      </c>
      <c r="RBO16" s="238">
        <f t="shared" ref="RBO16" si="6113">RBO11*0.0425</f>
        <v>0</v>
      </c>
      <c r="RBQ16" s="238">
        <f t="shared" ref="RBQ16" si="6114">RBQ11*0.0425</f>
        <v>0</v>
      </c>
      <c r="RBS16" s="238">
        <f t="shared" ref="RBS16" si="6115">RBS11*0.0425</f>
        <v>0</v>
      </c>
      <c r="RBU16" s="238">
        <f t="shared" ref="RBU16" si="6116">RBU11*0.0425</f>
        <v>0</v>
      </c>
      <c r="RBW16" s="238">
        <f t="shared" ref="RBW16" si="6117">RBW11*0.0425</f>
        <v>0</v>
      </c>
      <c r="RBY16" s="238">
        <f t="shared" ref="RBY16" si="6118">RBY11*0.0425</f>
        <v>0</v>
      </c>
      <c r="RCA16" s="238">
        <f t="shared" ref="RCA16" si="6119">RCA11*0.0425</f>
        <v>0</v>
      </c>
      <c r="RCC16" s="238">
        <f t="shared" ref="RCC16" si="6120">RCC11*0.0425</f>
        <v>0</v>
      </c>
      <c r="RCE16" s="238">
        <f t="shared" ref="RCE16" si="6121">RCE11*0.0425</f>
        <v>0</v>
      </c>
      <c r="RCG16" s="238">
        <f t="shared" ref="RCG16" si="6122">RCG11*0.0425</f>
        <v>0</v>
      </c>
      <c r="RCI16" s="238">
        <f t="shared" ref="RCI16" si="6123">RCI11*0.0425</f>
        <v>0</v>
      </c>
      <c r="RCK16" s="238">
        <f t="shared" ref="RCK16" si="6124">RCK11*0.0425</f>
        <v>0</v>
      </c>
      <c r="RCM16" s="238">
        <f t="shared" ref="RCM16" si="6125">RCM11*0.0425</f>
        <v>0</v>
      </c>
      <c r="RCO16" s="238">
        <f t="shared" ref="RCO16" si="6126">RCO11*0.0425</f>
        <v>0</v>
      </c>
      <c r="RCQ16" s="238">
        <f t="shared" ref="RCQ16" si="6127">RCQ11*0.0425</f>
        <v>0</v>
      </c>
      <c r="RCS16" s="238">
        <f t="shared" ref="RCS16" si="6128">RCS11*0.0425</f>
        <v>0</v>
      </c>
      <c r="RCU16" s="238">
        <f t="shared" ref="RCU16" si="6129">RCU11*0.0425</f>
        <v>0</v>
      </c>
      <c r="RCW16" s="238">
        <f t="shared" ref="RCW16" si="6130">RCW11*0.0425</f>
        <v>0</v>
      </c>
      <c r="RCY16" s="238">
        <f t="shared" ref="RCY16" si="6131">RCY11*0.0425</f>
        <v>0</v>
      </c>
      <c r="RDA16" s="238">
        <f t="shared" ref="RDA16" si="6132">RDA11*0.0425</f>
        <v>0</v>
      </c>
      <c r="RDC16" s="238">
        <f t="shared" ref="RDC16" si="6133">RDC11*0.0425</f>
        <v>0</v>
      </c>
      <c r="RDE16" s="238">
        <f t="shared" ref="RDE16" si="6134">RDE11*0.0425</f>
        <v>0</v>
      </c>
      <c r="RDG16" s="238">
        <f t="shared" ref="RDG16" si="6135">RDG11*0.0425</f>
        <v>0</v>
      </c>
      <c r="RDI16" s="238">
        <f t="shared" ref="RDI16" si="6136">RDI11*0.0425</f>
        <v>0</v>
      </c>
      <c r="RDK16" s="238">
        <f t="shared" ref="RDK16" si="6137">RDK11*0.0425</f>
        <v>0</v>
      </c>
      <c r="RDM16" s="238">
        <f t="shared" ref="RDM16" si="6138">RDM11*0.0425</f>
        <v>0</v>
      </c>
      <c r="RDO16" s="238">
        <f t="shared" ref="RDO16" si="6139">RDO11*0.0425</f>
        <v>0</v>
      </c>
      <c r="RDQ16" s="238">
        <f t="shared" ref="RDQ16" si="6140">RDQ11*0.0425</f>
        <v>0</v>
      </c>
      <c r="RDS16" s="238">
        <f t="shared" ref="RDS16" si="6141">RDS11*0.0425</f>
        <v>0</v>
      </c>
      <c r="RDU16" s="238">
        <f t="shared" ref="RDU16" si="6142">RDU11*0.0425</f>
        <v>0</v>
      </c>
      <c r="RDW16" s="238">
        <f t="shared" ref="RDW16" si="6143">RDW11*0.0425</f>
        <v>0</v>
      </c>
      <c r="RDY16" s="238">
        <f t="shared" ref="RDY16" si="6144">RDY11*0.0425</f>
        <v>0</v>
      </c>
      <c r="REA16" s="238">
        <f t="shared" ref="REA16" si="6145">REA11*0.0425</f>
        <v>0</v>
      </c>
      <c r="REC16" s="238">
        <f t="shared" ref="REC16" si="6146">REC11*0.0425</f>
        <v>0</v>
      </c>
      <c r="REE16" s="238">
        <f t="shared" ref="REE16" si="6147">REE11*0.0425</f>
        <v>0</v>
      </c>
      <c r="REG16" s="238">
        <f t="shared" ref="REG16" si="6148">REG11*0.0425</f>
        <v>0</v>
      </c>
      <c r="REI16" s="238">
        <f t="shared" ref="REI16" si="6149">REI11*0.0425</f>
        <v>0</v>
      </c>
      <c r="REK16" s="238">
        <f t="shared" ref="REK16" si="6150">REK11*0.0425</f>
        <v>0</v>
      </c>
      <c r="REM16" s="238">
        <f t="shared" ref="REM16" si="6151">REM11*0.0425</f>
        <v>0</v>
      </c>
      <c r="REO16" s="238">
        <f t="shared" ref="REO16" si="6152">REO11*0.0425</f>
        <v>0</v>
      </c>
      <c r="REQ16" s="238">
        <f t="shared" ref="REQ16" si="6153">REQ11*0.0425</f>
        <v>0</v>
      </c>
      <c r="RES16" s="238">
        <f t="shared" ref="RES16" si="6154">RES11*0.0425</f>
        <v>0</v>
      </c>
      <c r="REU16" s="238">
        <f t="shared" ref="REU16" si="6155">REU11*0.0425</f>
        <v>0</v>
      </c>
      <c r="REW16" s="238">
        <f t="shared" ref="REW16" si="6156">REW11*0.0425</f>
        <v>0</v>
      </c>
      <c r="REY16" s="238">
        <f t="shared" ref="REY16" si="6157">REY11*0.0425</f>
        <v>0</v>
      </c>
      <c r="RFA16" s="238">
        <f t="shared" ref="RFA16" si="6158">RFA11*0.0425</f>
        <v>0</v>
      </c>
      <c r="RFC16" s="238">
        <f t="shared" ref="RFC16" si="6159">RFC11*0.0425</f>
        <v>0</v>
      </c>
      <c r="RFE16" s="238">
        <f t="shared" ref="RFE16" si="6160">RFE11*0.0425</f>
        <v>0</v>
      </c>
      <c r="RFG16" s="238">
        <f t="shared" ref="RFG16" si="6161">RFG11*0.0425</f>
        <v>0</v>
      </c>
      <c r="RFI16" s="238">
        <f t="shared" ref="RFI16" si="6162">RFI11*0.0425</f>
        <v>0</v>
      </c>
      <c r="RFK16" s="238">
        <f t="shared" ref="RFK16" si="6163">RFK11*0.0425</f>
        <v>0</v>
      </c>
      <c r="RFM16" s="238">
        <f t="shared" ref="RFM16" si="6164">RFM11*0.0425</f>
        <v>0</v>
      </c>
      <c r="RFO16" s="238">
        <f t="shared" ref="RFO16" si="6165">RFO11*0.0425</f>
        <v>0</v>
      </c>
      <c r="RFQ16" s="238">
        <f t="shared" ref="RFQ16" si="6166">RFQ11*0.0425</f>
        <v>0</v>
      </c>
      <c r="RFS16" s="238">
        <f t="shared" ref="RFS16" si="6167">RFS11*0.0425</f>
        <v>0</v>
      </c>
      <c r="RFU16" s="238">
        <f t="shared" ref="RFU16" si="6168">RFU11*0.0425</f>
        <v>0</v>
      </c>
      <c r="RFW16" s="238">
        <f t="shared" ref="RFW16" si="6169">RFW11*0.0425</f>
        <v>0</v>
      </c>
      <c r="RFY16" s="238">
        <f t="shared" ref="RFY16" si="6170">RFY11*0.0425</f>
        <v>0</v>
      </c>
      <c r="RGA16" s="238">
        <f t="shared" ref="RGA16" si="6171">RGA11*0.0425</f>
        <v>0</v>
      </c>
      <c r="RGC16" s="238">
        <f t="shared" ref="RGC16" si="6172">RGC11*0.0425</f>
        <v>0</v>
      </c>
      <c r="RGE16" s="238">
        <f t="shared" ref="RGE16" si="6173">RGE11*0.0425</f>
        <v>0</v>
      </c>
      <c r="RGG16" s="238">
        <f t="shared" ref="RGG16" si="6174">RGG11*0.0425</f>
        <v>0</v>
      </c>
      <c r="RGI16" s="238">
        <f t="shared" ref="RGI16" si="6175">RGI11*0.0425</f>
        <v>0</v>
      </c>
      <c r="RGK16" s="238">
        <f t="shared" ref="RGK16" si="6176">RGK11*0.0425</f>
        <v>0</v>
      </c>
      <c r="RGM16" s="238">
        <f t="shared" ref="RGM16" si="6177">RGM11*0.0425</f>
        <v>0</v>
      </c>
      <c r="RGO16" s="238">
        <f t="shared" ref="RGO16" si="6178">RGO11*0.0425</f>
        <v>0</v>
      </c>
      <c r="RGQ16" s="238">
        <f t="shared" ref="RGQ16" si="6179">RGQ11*0.0425</f>
        <v>0</v>
      </c>
      <c r="RGS16" s="238">
        <f t="shared" ref="RGS16" si="6180">RGS11*0.0425</f>
        <v>0</v>
      </c>
      <c r="RGU16" s="238">
        <f t="shared" ref="RGU16" si="6181">RGU11*0.0425</f>
        <v>0</v>
      </c>
      <c r="RGW16" s="238">
        <f t="shared" ref="RGW16" si="6182">RGW11*0.0425</f>
        <v>0</v>
      </c>
      <c r="RGY16" s="238">
        <f t="shared" ref="RGY16" si="6183">RGY11*0.0425</f>
        <v>0</v>
      </c>
      <c r="RHA16" s="238">
        <f t="shared" ref="RHA16" si="6184">RHA11*0.0425</f>
        <v>0</v>
      </c>
      <c r="RHC16" s="238">
        <f t="shared" ref="RHC16" si="6185">RHC11*0.0425</f>
        <v>0</v>
      </c>
      <c r="RHE16" s="238">
        <f t="shared" ref="RHE16" si="6186">RHE11*0.0425</f>
        <v>0</v>
      </c>
      <c r="RHG16" s="238">
        <f t="shared" ref="RHG16" si="6187">RHG11*0.0425</f>
        <v>0</v>
      </c>
      <c r="RHI16" s="238">
        <f t="shared" ref="RHI16" si="6188">RHI11*0.0425</f>
        <v>0</v>
      </c>
      <c r="RHK16" s="238">
        <f t="shared" ref="RHK16" si="6189">RHK11*0.0425</f>
        <v>0</v>
      </c>
      <c r="RHM16" s="238">
        <f t="shared" ref="RHM16" si="6190">RHM11*0.0425</f>
        <v>0</v>
      </c>
      <c r="RHO16" s="238">
        <f t="shared" ref="RHO16" si="6191">RHO11*0.0425</f>
        <v>0</v>
      </c>
      <c r="RHQ16" s="238">
        <f t="shared" ref="RHQ16" si="6192">RHQ11*0.0425</f>
        <v>0</v>
      </c>
      <c r="RHS16" s="238">
        <f t="shared" ref="RHS16" si="6193">RHS11*0.0425</f>
        <v>0</v>
      </c>
      <c r="RHU16" s="238">
        <f t="shared" ref="RHU16" si="6194">RHU11*0.0425</f>
        <v>0</v>
      </c>
      <c r="RHW16" s="238">
        <f t="shared" ref="RHW16" si="6195">RHW11*0.0425</f>
        <v>0</v>
      </c>
      <c r="RHY16" s="238">
        <f t="shared" ref="RHY16" si="6196">RHY11*0.0425</f>
        <v>0</v>
      </c>
      <c r="RIA16" s="238">
        <f t="shared" ref="RIA16" si="6197">RIA11*0.0425</f>
        <v>0</v>
      </c>
      <c r="RIC16" s="238">
        <f t="shared" ref="RIC16" si="6198">RIC11*0.0425</f>
        <v>0</v>
      </c>
      <c r="RIE16" s="238">
        <f t="shared" ref="RIE16" si="6199">RIE11*0.0425</f>
        <v>0</v>
      </c>
      <c r="RIG16" s="238">
        <f t="shared" ref="RIG16" si="6200">RIG11*0.0425</f>
        <v>0</v>
      </c>
      <c r="RII16" s="238">
        <f t="shared" ref="RII16" si="6201">RII11*0.0425</f>
        <v>0</v>
      </c>
      <c r="RIK16" s="238">
        <f t="shared" ref="RIK16" si="6202">RIK11*0.0425</f>
        <v>0</v>
      </c>
      <c r="RIM16" s="238">
        <f t="shared" ref="RIM16" si="6203">RIM11*0.0425</f>
        <v>0</v>
      </c>
      <c r="RIO16" s="238">
        <f t="shared" ref="RIO16" si="6204">RIO11*0.0425</f>
        <v>0</v>
      </c>
      <c r="RIQ16" s="238">
        <f t="shared" ref="RIQ16" si="6205">RIQ11*0.0425</f>
        <v>0</v>
      </c>
      <c r="RIS16" s="238">
        <f t="shared" ref="RIS16" si="6206">RIS11*0.0425</f>
        <v>0</v>
      </c>
      <c r="RIU16" s="238">
        <f t="shared" ref="RIU16" si="6207">RIU11*0.0425</f>
        <v>0</v>
      </c>
      <c r="RIW16" s="238">
        <f t="shared" ref="RIW16" si="6208">RIW11*0.0425</f>
        <v>0</v>
      </c>
      <c r="RIY16" s="238">
        <f t="shared" ref="RIY16" si="6209">RIY11*0.0425</f>
        <v>0</v>
      </c>
      <c r="RJA16" s="238">
        <f t="shared" ref="RJA16" si="6210">RJA11*0.0425</f>
        <v>0</v>
      </c>
      <c r="RJC16" s="238">
        <f t="shared" ref="RJC16" si="6211">RJC11*0.0425</f>
        <v>0</v>
      </c>
      <c r="RJE16" s="238">
        <f t="shared" ref="RJE16" si="6212">RJE11*0.0425</f>
        <v>0</v>
      </c>
      <c r="RJG16" s="238">
        <f t="shared" ref="RJG16" si="6213">RJG11*0.0425</f>
        <v>0</v>
      </c>
      <c r="RJI16" s="238">
        <f t="shared" ref="RJI16" si="6214">RJI11*0.0425</f>
        <v>0</v>
      </c>
      <c r="RJK16" s="238">
        <f t="shared" ref="RJK16" si="6215">RJK11*0.0425</f>
        <v>0</v>
      </c>
      <c r="RJM16" s="238">
        <f t="shared" ref="RJM16" si="6216">RJM11*0.0425</f>
        <v>0</v>
      </c>
      <c r="RJO16" s="238">
        <f t="shared" ref="RJO16" si="6217">RJO11*0.0425</f>
        <v>0</v>
      </c>
      <c r="RJQ16" s="238">
        <f t="shared" ref="RJQ16" si="6218">RJQ11*0.0425</f>
        <v>0</v>
      </c>
      <c r="RJS16" s="238">
        <f t="shared" ref="RJS16" si="6219">RJS11*0.0425</f>
        <v>0</v>
      </c>
      <c r="RJU16" s="238">
        <f t="shared" ref="RJU16" si="6220">RJU11*0.0425</f>
        <v>0</v>
      </c>
      <c r="RJW16" s="238">
        <f t="shared" ref="RJW16" si="6221">RJW11*0.0425</f>
        <v>0</v>
      </c>
      <c r="RJY16" s="238">
        <f t="shared" ref="RJY16" si="6222">RJY11*0.0425</f>
        <v>0</v>
      </c>
      <c r="RKA16" s="238">
        <f t="shared" ref="RKA16" si="6223">RKA11*0.0425</f>
        <v>0</v>
      </c>
      <c r="RKC16" s="238">
        <f t="shared" ref="RKC16" si="6224">RKC11*0.0425</f>
        <v>0</v>
      </c>
      <c r="RKE16" s="238">
        <f t="shared" ref="RKE16" si="6225">RKE11*0.0425</f>
        <v>0</v>
      </c>
      <c r="RKG16" s="238">
        <f t="shared" ref="RKG16" si="6226">RKG11*0.0425</f>
        <v>0</v>
      </c>
      <c r="RKI16" s="238">
        <f t="shared" ref="RKI16" si="6227">RKI11*0.0425</f>
        <v>0</v>
      </c>
      <c r="RKK16" s="238">
        <f t="shared" ref="RKK16" si="6228">RKK11*0.0425</f>
        <v>0</v>
      </c>
      <c r="RKM16" s="238">
        <f t="shared" ref="RKM16" si="6229">RKM11*0.0425</f>
        <v>0</v>
      </c>
      <c r="RKO16" s="238">
        <f t="shared" ref="RKO16" si="6230">RKO11*0.0425</f>
        <v>0</v>
      </c>
      <c r="RKQ16" s="238">
        <f t="shared" ref="RKQ16" si="6231">RKQ11*0.0425</f>
        <v>0</v>
      </c>
      <c r="RKS16" s="238">
        <f t="shared" ref="RKS16" si="6232">RKS11*0.0425</f>
        <v>0</v>
      </c>
      <c r="RKU16" s="238">
        <f t="shared" ref="RKU16" si="6233">RKU11*0.0425</f>
        <v>0</v>
      </c>
      <c r="RKW16" s="238">
        <f t="shared" ref="RKW16" si="6234">RKW11*0.0425</f>
        <v>0</v>
      </c>
      <c r="RKY16" s="238">
        <f t="shared" ref="RKY16" si="6235">RKY11*0.0425</f>
        <v>0</v>
      </c>
      <c r="RLA16" s="238">
        <f t="shared" ref="RLA16" si="6236">RLA11*0.0425</f>
        <v>0</v>
      </c>
      <c r="RLC16" s="238">
        <f t="shared" ref="RLC16" si="6237">RLC11*0.0425</f>
        <v>0</v>
      </c>
      <c r="RLE16" s="238">
        <f t="shared" ref="RLE16" si="6238">RLE11*0.0425</f>
        <v>0</v>
      </c>
      <c r="RLG16" s="238">
        <f t="shared" ref="RLG16" si="6239">RLG11*0.0425</f>
        <v>0</v>
      </c>
      <c r="RLI16" s="238">
        <f t="shared" ref="RLI16" si="6240">RLI11*0.0425</f>
        <v>0</v>
      </c>
      <c r="RLK16" s="238">
        <f t="shared" ref="RLK16" si="6241">RLK11*0.0425</f>
        <v>0</v>
      </c>
      <c r="RLM16" s="238">
        <f t="shared" ref="RLM16" si="6242">RLM11*0.0425</f>
        <v>0</v>
      </c>
      <c r="RLO16" s="238">
        <f t="shared" ref="RLO16" si="6243">RLO11*0.0425</f>
        <v>0</v>
      </c>
      <c r="RLQ16" s="238">
        <f t="shared" ref="RLQ16" si="6244">RLQ11*0.0425</f>
        <v>0</v>
      </c>
      <c r="RLS16" s="238">
        <f t="shared" ref="RLS16" si="6245">RLS11*0.0425</f>
        <v>0</v>
      </c>
      <c r="RLU16" s="238">
        <f t="shared" ref="RLU16" si="6246">RLU11*0.0425</f>
        <v>0</v>
      </c>
      <c r="RLW16" s="238">
        <f t="shared" ref="RLW16" si="6247">RLW11*0.0425</f>
        <v>0</v>
      </c>
      <c r="RLY16" s="238">
        <f t="shared" ref="RLY16" si="6248">RLY11*0.0425</f>
        <v>0</v>
      </c>
      <c r="RMA16" s="238">
        <f t="shared" ref="RMA16" si="6249">RMA11*0.0425</f>
        <v>0</v>
      </c>
      <c r="RMC16" s="238">
        <f t="shared" ref="RMC16" si="6250">RMC11*0.0425</f>
        <v>0</v>
      </c>
      <c r="RME16" s="238">
        <f t="shared" ref="RME16" si="6251">RME11*0.0425</f>
        <v>0</v>
      </c>
      <c r="RMG16" s="238">
        <f t="shared" ref="RMG16" si="6252">RMG11*0.0425</f>
        <v>0</v>
      </c>
      <c r="RMI16" s="238">
        <f t="shared" ref="RMI16" si="6253">RMI11*0.0425</f>
        <v>0</v>
      </c>
      <c r="RMK16" s="238">
        <f t="shared" ref="RMK16" si="6254">RMK11*0.0425</f>
        <v>0</v>
      </c>
      <c r="RMM16" s="238">
        <f t="shared" ref="RMM16" si="6255">RMM11*0.0425</f>
        <v>0</v>
      </c>
      <c r="RMO16" s="238">
        <f t="shared" ref="RMO16" si="6256">RMO11*0.0425</f>
        <v>0</v>
      </c>
      <c r="RMQ16" s="238">
        <f t="shared" ref="RMQ16" si="6257">RMQ11*0.0425</f>
        <v>0</v>
      </c>
      <c r="RMS16" s="238">
        <f t="shared" ref="RMS16" si="6258">RMS11*0.0425</f>
        <v>0</v>
      </c>
      <c r="RMU16" s="238">
        <f t="shared" ref="RMU16" si="6259">RMU11*0.0425</f>
        <v>0</v>
      </c>
      <c r="RMW16" s="238">
        <f t="shared" ref="RMW16" si="6260">RMW11*0.0425</f>
        <v>0</v>
      </c>
      <c r="RMY16" s="238">
        <f t="shared" ref="RMY16" si="6261">RMY11*0.0425</f>
        <v>0</v>
      </c>
      <c r="RNA16" s="238">
        <f t="shared" ref="RNA16" si="6262">RNA11*0.0425</f>
        <v>0</v>
      </c>
      <c r="RNC16" s="238">
        <f t="shared" ref="RNC16" si="6263">RNC11*0.0425</f>
        <v>0</v>
      </c>
      <c r="RNE16" s="238">
        <f t="shared" ref="RNE16" si="6264">RNE11*0.0425</f>
        <v>0</v>
      </c>
      <c r="RNG16" s="238">
        <f t="shared" ref="RNG16" si="6265">RNG11*0.0425</f>
        <v>0</v>
      </c>
      <c r="RNI16" s="238">
        <f t="shared" ref="RNI16" si="6266">RNI11*0.0425</f>
        <v>0</v>
      </c>
      <c r="RNK16" s="238">
        <f t="shared" ref="RNK16" si="6267">RNK11*0.0425</f>
        <v>0</v>
      </c>
      <c r="RNM16" s="238">
        <f t="shared" ref="RNM16" si="6268">RNM11*0.0425</f>
        <v>0</v>
      </c>
      <c r="RNO16" s="238">
        <f t="shared" ref="RNO16" si="6269">RNO11*0.0425</f>
        <v>0</v>
      </c>
      <c r="RNQ16" s="238">
        <f t="shared" ref="RNQ16" si="6270">RNQ11*0.0425</f>
        <v>0</v>
      </c>
      <c r="RNS16" s="238">
        <f t="shared" ref="RNS16" si="6271">RNS11*0.0425</f>
        <v>0</v>
      </c>
      <c r="RNU16" s="238">
        <f t="shared" ref="RNU16" si="6272">RNU11*0.0425</f>
        <v>0</v>
      </c>
      <c r="RNW16" s="238">
        <f t="shared" ref="RNW16" si="6273">RNW11*0.0425</f>
        <v>0</v>
      </c>
      <c r="RNY16" s="238">
        <f t="shared" ref="RNY16" si="6274">RNY11*0.0425</f>
        <v>0</v>
      </c>
      <c r="ROA16" s="238">
        <f t="shared" ref="ROA16" si="6275">ROA11*0.0425</f>
        <v>0</v>
      </c>
      <c r="ROC16" s="238">
        <f t="shared" ref="ROC16" si="6276">ROC11*0.0425</f>
        <v>0</v>
      </c>
      <c r="ROE16" s="238">
        <f t="shared" ref="ROE16" si="6277">ROE11*0.0425</f>
        <v>0</v>
      </c>
      <c r="ROG16" s="238">
        <f t="shared" ref="ROG16" si="6278">ROG11*0.0425</f>
        <v>0</v>
      </c>
      <c r="ROI16" s="238">
        <f t="shared" ref="ROI16" si="6279">ROI11*0.0425</f>
        <v>0</v>
      </c>
      <c r="ROK16" s="238">
        <f t="shared" ref="ROK16" si="6280">ROK11*0.0425</f>
        <v>0</v>
      </c>
      <c r="ROM16" s="238">
        <f t="shared" ref="ROM16" si="6281">ROM11*0.0425</f>
        <v>0</v>
      </c>
      <c r="ROO16" s="238">
        <f t="shared" ref="ROO16" si="6282">ROO11*0.0425</f>
        <v>0</v>
      </c>
      <c r="ROQ16" s="238">
        <f t="shared" ref="ROQ16" si="6283">ROQ11*0.0425</f>
        <v>0</v>
      </c>
      <c r="ROS16" s="238">
        <f t="shared" ref="ROS16" si="6284">ROS11*0.0425</f>
        <v>0</v>
      </c>
      <c r="ROU16" s="238">
        <f t="shared" ref="ROU16" si="6285">ROU11*0.0425</f>
        <v>0</v>
      </c>
      <c r="ROW16" s="238">
        <f t="shared" ref="ROW16" si="6286">ROW11*0.0425</f>
        <v>0</v>
      </c>
      <c r="ROY16" s="238">
        <f t="shared" ref="ROY16" si="6287">ROY11*0.0425</f>
        <v>0</v>
      </c>
      <c r="RPA16" s="238">
        <f t="shared" ref="RPA16" si="6288">RPA11*0.0425</f>
        <v>0</v>
      </c>
      <c r="RPC16" s="238">
        <f t="shared" ref="RPC16" si="6289">RPC11*0.0425</f>
        <v>0</v>
      </c>
      <c r="RPE16" s="238">
        <f t="shared" ref="RPE16" si="6290">RPE11*0.0425</f>
        <v>0</v>
      </c>
      <c r="RPG16" s="238">
        <f t="shared" ref="RPG16" si="6291">RPG11*0.0425</f>
        <v>0</v>
      </c>
      <c r="RPI16" s="238">
        <f t="shared" ref="RPI16" si="6292">RPI11*0.0425</f>
        <v>0</v>
      </c>
      <c r="RPK16" s="238">
        <f t="shared" ref="RPK16" si="6293">RPK11*0.0425</f>
        <v>0</v>
      </c>
      <c r="RPM16" s="238">
        <f t="shared" ref="RPM16" si="6294">RPM11*0.0425</f>
        <v>0</v>
      </c>
      <c r="RPO16" s="238">
        <f t="shared" ref="RPO16" si="6295">RPO11*0.0425</f>
        <v>0</v>
      </c>
      <c r="RPQ16" s="238">
        <f t="shared" ref="RPQ16" si="6296">RPQ11*0.0425</f>
        <v>0</v>
      </c>
      <c r="RPS16" s="238">
        <f t="shared" ref="RPS16" si="6297">RPS11*0.0425</f>
        <v>0</v>
      </c>
      <c r="RPU16" s="238">
        <f t="shared" ref="RPU16" si="6298">RPU11*0.0425</f>
        <v>0</v>
      </c>
      <c r="RPW16" s="238">
        <f t="shared" ref="RPW16" si="6299">RPW11*0.0425</f>
        <v>0</v>
      </c>
      <c r="RPY16" s="238">
        <f t="shared" ref="RPY16" si="6300">RPY11*0.0425</f>
        <v>0</v>
      </c>
      <c r="RQA16" s="238">
        <f t="shared" ref="RQA16" si="6301">RQA11*0.0425</f>
        <v>0</v>
      </c>
      <c r="RQC16" s="238">
        <f t="shared" ref="RQC16" si="6302">RQC11*0.0425</f>
        <v>0</v>
      </c>
      <c r="RQE16" s="238">
        <f t="shared" ref="RQE16" si="6303">RQE11*0.0425</f>
        <v>0</v>
      </c>
      <c r="RQG16" s="238">
        <f t="shared" ref="RQG16" si="6304">RQG11*0.0425</f>
        <v>0</v>
      </c>
      <c r="RQI16" s="238">
        <f t="shared" ref="RQI16" si="6305">RQI11*0.0425</f>
        <v>0</v>
      </c>
      <c r="RQK16" s="238">
        <f t="shared" ref="RQK16" si="6306">RQK11*0.0425</f>
        <v>0</v>
      </c>
      <c r="RQM16" s="238">
        <f t="shared" ref="RQM16" si="6307">RQM11*0.0425</f>
        <v>0</v>
      </c>
      <c r="RQO16" s="238">
        <f t="shared" ref="RQO16" si="6308">RQO11*0.0425</f>
        <v>0</v>
      </c>
      <c r="RQQ16" s="238">
        <f t="shared" ref="RQQ16" si="6309">RQQ11*0.0425</f>
        <v>0</v>
      </c>
      <c r="RQS16" s="238">
        <f t="shared" ref="RQS16" si="6310">RQS11*0.0425</f>
        <v>0</v>
      </c>
      <c r="RQU16" s="238">
        <f t="shared" ref="RQU16" si="6311">RQU11*0.0425</f>
        <v>0</v>
      </c>
      <c r="RQW16" s="238">
        <f t="shared" ref="RQW16" si="6312">RQW11*0.0425</f>
        <v>0</v>
      </c>
      <c r="RQY16" s="238">
        <f t="shared" ref="RQY16" si="6313">RQY11*0.0425</f>
        <v>0</v>
      </c>
      <c r="RRA16" s="238">
        <f t="shared" ref="RRA16" si="6314">RRA11*0.0425</f>
        <v>0</v>
      </c>
      <c r="RRC16" s="238">
        <f t="shared" ref="RRC16" si="6315">RRC11*0.0425</f>
        <v>0</v>
      </c>
      <c r="RRE16" s="238">
        <f t="shared" ref="RRE16" si="6316">RRE11*0.0425</f>
        <v>0</v>
      </c>
      <c r="RRG16" s="238">
        <f t="shared" ref="RRG16" si="6317">RRG11*0.0425</f>
        <v>0</v>
      </c>
      <c r="RRI16" s="238">
        <f t="shared" ref="RRI16" si="6318">RRI11*0.0425</f>
        <v>0</v>
      </c>
      <c r="RRK16" s="238">
        <f t="shared" ref="RRK16" si="6319">RRK11*0.0425</f>
        <v>0</v>
      </c>
      <c r="RRM16" s="238">
        <f t="shared" ref="RRM16" si="6320">RRM11*0.0425</f>
        <v>0</v>
      </c>
      <c r="RRO16" s="238">
        <f t="shared" ref="RRO16" si="6321">RRO11*0.0425</f>
        <v>0</v>
      </c>
      <c r="RRQ16" s="238">
        <f t="shared" ref="RRQ16" si="6322">RRQ11*0.0425</f>
        <v>0</v>
      </c>
      <c r="RRS16" s="238">
        <f t="shared" ref="RRS16" si="6323">RRS11*0.0425</f>
        <v>0</v>
      </c>
      <c r="RRU16" s="238">
        <f t="shared" ref="RRU16" si="6324">RRU11*0.0425</f>
        <v>0</v>
      </c>
      <c r="RRW16" s="238">
        <f t="shared" ref="RRW16" si="6325">RRW11*0.0425</f>
        <v>0</v>
      </c>
      <c r="RRY16" s="238">
        <f t="shared" ref="RRY16" si="6326">RRY11*0.0425</f>
        <v>0</v>
      </c>
      <c r="RSA16" s="238">
        <f t="shared" ref="RSA16" si="6327">RSA11*0.0425</f>
        <v>0</v>
      </c>
      <c r="RSC16" s="238">
        <f t="shared" ref="RSC16" si="6328">RSC11*0.0425</f>
        <v>0</v>
      </c>
      <c r="RSE16" s="238">
        <f t="shared" ref="RSE16" si="6329">RSE11*0.0425</f>
        <v>0</v>
      </c>
      <c r="RSG16" s="238">
        <f t="shared" ref="RSG16" si="6330">RSG11*0.0425</f>
        <v>0</v>
      </c>
      <c r="RSI16" s="238">
        <f t="shared" ref="RSI16" si="6331">RSI11*0.0425</f>
        <v>0</v>
      </c>
      <c r="RSK16" s="238">
        <f t="shared" ref="RSK16" si="6332">RSK11*0.0425</f>
        <v>0</v>
      </c>
      <c r="RSM16" s="238">
        <f t="shared" ref="RSM16" si="6333">RSM11*0.0425</f>
        <v>0</v>
      </c>
      <c r="RSO16" s="238">
        <f t="shared" ref="RSO16" si="6334">RSO11*0.0425</f>
        <v>0</v>
      </c>
      <c r="RSQ16" s="238">
        <f t="shared" ref="RSQ16" si="6335">RSQ11*0.0425</f>
        <v>0</v>
      </c>
      <c r="RSS16" s="238">
        <f t="shared" ref="RSS16" si="6336">RSS11*0.0425</f>
        <v>0</v>
      </c>
      <c r="RSU16" s="238">
        <f t="shared" ref="RSU16" si="6337">RSU11*0.0425</f>
        <v>0</v>
      </c>
      <c r="RSW16" s="238">
        <f t="shared" ref="RSW16" si="6338">RSW11*0.0425</f>
        <v>0</v>
      </c>
      <c r="RSY16" s="238">
        <f t="shared" ref="RSY16" si="6339">RSY11*0.0425</f>
        <v>0</v>
      </c>
      <c r="RTA16" s="238">
        <f t="shared" ref="RTA16" si="6340">RTA11*0.0425</f>
        <v>0</v>
      </c>
      <c r="RTC16" s="238">
        <f t="shared" ref="RTC16" si="6341">RTC11*0.0425</f>
        <v>0</v>
      </c>
      <c r="RTE16" s="238">
        <f t="shared" ref="RTE16" si="6342">RTE11*0.0425</f>
        <v>0</v>
      </c>
      <c r="RTG16" s="238">
        <f t="shared" ref="RTG16" si="6343">RTG11*0.0425</f>
        <v>0</v>
      </c>
      <c r="RTI16" s="238">
        <f t="shared" ref="RTI16" si="6344">RTI11*0.0425</f>
        <v>0</v>
      </c>
      <c r="RTK16" s="238">
        <f t="shared" ref="RTK16" si="6345">RTK11*0.0425</f>
        <v>0</v>
      </c>
      <c r="RTM16" s="238">
        <f t="shared" ref="RTM16" si="6346">RTM11*0.0425</f>
        <v>0</v>
      </c>
      <c r="RTO16" s="238">
        <f t="shared" ref="RTO16" si="6347">RTO11*0.0425</f>
        <v>0</v>
      </c>
      <c r="RTQ16" s="238">
        <f t="shared" ref="RTQ16" si="6348">RTQ11*0.0425</f>
        <v>0</v>
      </c>
      <c r="RTS16" s="238">
        <f t="shared" ref="RTS16" si="6349">RTS11*0.0425</f>
        <v>0</v>
      </c>
      <c r="RTU16" s="238">
        <f t="shared" ref="RTU16" si="6350">RTU11*0.0425</f>
        <v>0</v>
      </c>
      <c r="RTW16" s="238">
        <f t="shared" ref="RTW16" si="6351">RTW11*0.0425</f>
        <v>0</v>
      </c>
      <c r="RTY16" s="238">
        <f t="shared" ref="RTY16" si="6352">RTY11*0.0425</f>
        <v>0</v>
      </c>
      <c r="RUA16" s="238">
        <f t="shared" ref="RUA16" si="6353">RUA11*0.0425</f>
        <v>0</v>
      </c>
      <c r="RUC16" s="238">
        <f t="shared" ref="RUC16" si="6354">RUC11*0.0425</f>
        <v>0</v>
      </c>
      <c r="RUE16" s="238">
        <f t="shared" ref="RUE16" si="6355">RUE11*0.0425</f>
        <v>0</v>
      </c>
      <c r="RUG16" s="238">
        <f t="shared" ref="RUG16" si="6356">RUG11*0.0425</f>
        <v>0</v>
      </c>
      <c r="RUI16" s="238">
        <f t="shared" ref="RUI16" si="6357">RUI11*0.0425</f>
        <v>0</v>
      </c>
      <c r="RUK16" s="238">
        <f t="shared" ref="RUK16" si="6358">RUK11*0.0425</f>
        <v>0</v>
      </c>
      <c r="RUM16" s="238">
        <f t="shared" ref="RUM16" si="6359">RUM11*0.0425</f>
        <v>0</v>
      </c>
      <c r="RUO16" s="238">
        <f t="shared" ref="RUO16" si="6360">RUO11*0.0425</f>
        <v>0</v>
      </c>
      <c r="RUQ16" s="238">
        <f t="shared" ref="RUQ16" si="6361">RUQ11*0.0425</f>
        <v>0</v>
      </c>
      <c r="RUS16" s="238">
        <f t="shared" ref="RUS16" si="6362">RUS11*0.0425</f>
        <v>0</v>
      </c>
      <c r="RUU16" s="238">
        <f t="shared" ref="RUU16" si="6363">RUU11*0.0425</f>
        <v>0</v>
      </c>
      <c r="RUW16" s="238">
        <f t="shared" ref="RUW16" si="6364">RUW11*0.0425</f>
        <v>0</v>
      </c>
      <c r="RUY16" s="238">
        <f t="shared" ref="RUY16" si="6365">RUY11*0.0425</f>
        <v>0</v>
      </c>
      <c r="RVA16" s="238">
        <f t="shared" ref="RVA16" si="6366">RVA11*0.0425</f>
        <v>0</v>
      </c>
      <c r="RVC16" s="238">
        <f t="shared" ref="RVC16" si="6367">RVC11*0.0425</f>
        <v>0</v>
      </c>
      <c r="RVE16" s="238">
        <f t="shared" ref="RVE16" si="6368">RVE11*0.0425</f>
        <v>0</v>
      </c>
      <c r="RVG16" s="238">
        <f t="shared" ref="RVG16" si="6369">RVG11*0.0425</f>
        <v>0</v>
      </c>
      <c r="RVI16" s="238">
        <f t="shared" ref="RVI16" si="6370">RVI11*0.0425</f>
        <v>0</v>
      </c>
      <c r="RVK16" s="238">
        <f t="shared" ref="RVK16" si="6371">RVK11*0.0425</f>
        <v>0</v>
      </c>
      <c r="RVM16" s="238">
        <f t="shared" ref="RVM16" si="6372">RVM11*0.0425</f>
        <v>0</v>
      </c>
      <c r="RVO16" s="238">
        <f t="shared" ref="RVO16" si="6373">RVO11*0.0425</f>
        <v>0</v>
      </c>
      <c r="RVQ16" s="238">
        <f t="shared" ref="RVQ16" si="6374">RVQ11*0.0425</f>
        <v>0</v>
      </c>
      <c r="RVS16" s="238">
        <f t="shared" ref="RVS16" si="6375">RVS11*0.0425</f>
        <v>0</v>
      </c>
      <c r="RVU16" s="238">
        <f t="shared" ref="RVU16" si="6376">RVU11*0.0425</f>
        <v>0</v>
      </c>
      <c r="RVW16" s="238">
        <f t="shared" ref="RVW16" si="6377">RVW11*0.0425</f>
        <v>0</v>
      </c>
      <c r="RVY16" s="238">
        <f t="shared" ref="RVY16" si="6378">RVY11*0.0425</f>
        <v>0</v>
      </c>
      <c r="RWA16" s="238">
        <f t="shared" ref="RWA16" si="6379">RWA11*0.0425</f>
        <v>0</v>
      </c>
      <c r="RWC16" s="238">
        <f t="shared" ref="RWC16" si="6380">RWC11*0.0425</f>
        <v>0</v>
      </c>
      <c r="RWE16" s="238">
        <f t="shared" ref="RWE16" si="6381">RWE11*0.0425</f>
        <v>0</v>
      </c>
      <c r="RWG16" s="238">
        <f t="shared" ref="RWG16" si="6382">RWG11*0.0425</f>
        <v>0</v>
      </c>
      <c r="RWI16" s="238">
        <f t="shared" ref="RWI16" si="6383">RWI11*0.0425</f>
        <v>0</v>
      </c>
      <c r="RWK16" s="238">
        <f t="shared" ref="RWK16" si="6384">RWK11*0.0425</f>
        <v>0</v>
      </c>
      <c r="RWM16" s="238">
        <f t="shared" ref="RWM16" si="6385">RWM11*0.0425</f>
        <v>0</v>
      </c>
      <c r="RWO16" s="238">
        <f t="shared" ref="RWO16" si="6386">RWO11*0.0425</f>
        <v>0</v>
      </c>
      <c r="RWQ16" s="238">
        <f t="shared" ref="RWQ16" si="6387">RWQ11*0.0425</f>
        <v>0</v>
      </c>
      <c r="RWS16" s="238">
        <f t="shared" ref="RWS16" si="6388">RWS11*0.0425</f>
        <v>0</v>
      </c>
      <c r="RWU16" s="238">
        <f t="shared" ref="RWU16" si="6389">RWU11*0.0425</f>
        <v>0</v>
      </c>
      <c r="RWW16" s="238">
        <f t="shared" ref="RWW16" si="6390">RWW11*0.0425</f>
        <v>0</v>
      </c>
      <c r="RWY16" s="238">
        <f t="shared" ref="RWY16" si="6391">RWY11*0.0425</f>
        <v>0</v>
      </c>
      <c r="RXA16" s="238">
        <f t="shared" ref="RXA16" si="6392">RXA11*0.0425</f>
        <v>0</v>
      </c>
      <c r="RXC16" s="238">
        <f t="shared" ref="RXC16" si="6393">RXC11*0.0425</f>
        <v>0</v>
      </c>
      <c r="RXE16" s="238">
        <f t="shared" ref="RXE16" si="6394">RXE11*0.0425</f>
        <v>0</v>
      </c>
      <c r="RXG16" s="238">
        <f t="shared" ref="RXG16" si="6395">RXG11*0.0425</f>
        <v>0</v>
      </c>
      <c r="RXI16" s="238">
        <f t="shared" ref="RXI16" si="6396">RXI11*0.0425</f>
        <v>0</v>
      </c>
      <c r="RXK16" s="238">
        <f t="shared" ref="RXK16" si="6397">RXK11*0.0425</f>
        <v>0</v>
      </c>
      <c r="RXM16" s="238">
        <f t="shared" ref="RXM16" si="6398">RXM11*0.0425</f>
        <v>0</v>
      </c>
      <c r="RXO16" s="238">
        <f t="shared" ref="RXO16" si="6399">RXO11*0.0425</f>
        <v>0</v>
      </c>
      <c r="RXQ16" s="238">
        <f t="shared" ref="RXQ16" si="6400">RXQ11*0.0425</f>
        <v>0</v>
      </c>
      <c r="RXS16" s="238">
        <f t="shared" ref="RXS16" si="6401">RXS11*0.0425</f>
        <v>0</v>
      </c>
      <c r="RXU16" s="238">
        <f t="shared" ref="RXU16" si="6402">RXU11*0.0425</f>
        <v>0</v>
      </c>
      <c r="RXW16" s="238">
        <f t="shared" ref="RXW16" si="6403">RXW11*0.0425</f>
        <v>0</v>
      </c>
      <c r="RXY16" s="238">
        <f t="shared" ref="RXY16" si="6404">RXY11*0.0425</f>
        <v>0</v>
      </c>
      <c r="RYA16" s="238">
        <f t="shared" ref="RYA16" si="6405">RYA11*0.0425</f>
        <v>0</v>
      </c>
      <c r="RYC16" s="238">
        <f t="shared" ref="RYC16" si="6406">RYC11*0.0425</f>
        <v>0</v>
      </c>
      <c r="RYE16" s="238">
        <f t="shared" ref="RYE16" si="6407">RYE11*0.0425</f>
        <v>0</v>
      </c>
      <c r="RYG16" s="238">
        <f t="shared" ref="RYG16" si="6408">RYG11*0.0425</f>
        <v>0</v>
      </c>
      <c r="RYI16" s="238">
        <f t="shared" ref="RYI16" si="6409">RYI11*0.0425</f>
        <v>0</v>
      </c>
      <c r="RYK16" s="238">
        <f t="shared" ref="RYK16" si="6410">RYK11*0.0425</f>
        <v>0</v>
      </c>
      <c r="RYM16" s="238">
        <f t="shared" ref="RYM16" si="6411">RYM11*0.0425</f>
        <v>0</v>
      </c>
      <c r="RYO16" s="238">
        <f t="shared" ref="RYO16" si="6412">RYO11*0.0425</f>
        <v>0</v>
      </c>
      <c r="RYQ16" s="238">
        <f t="shared" ref="RYQ16" si="6413">RYQ11*0.0425</f>
        <v>0</v>
      </c>
      <c r="RYS16" s="238">
        <f t="shared" ref="RYS16" si="6414">RYS11*0.0425</f>
        <v>0</v>
      </c>
      <c r="RYU16" s="238">
        <f t="shared" ref="RYU16" si="6415">RYU11*0.0425</f>
        <v>0</v>
      </c>
      <c r="RYW16" s="238">
        <f t="shared" ref="RYW16" si="6416">RYW11*0.0425</f>
        <v>0</v>
      </c>
      <c r="RYY16" s="238">
        <f t="shared" ref="RYY16" si="6417">RYY11*0.0425</f>
        <v>0</v>
      </c>
      <c r="RZA16" s="238">
        <f t="shared" ref="RZA16" si="6418">RZA11*0.0425</f>
        <v>0</v>
      </c>
      <c r="RZC16" s="238">
        <f t="shared" ref="RZC16" si="6419">RZC11*0.0425</f>
        <v>0</v>
      </c>
      <c r="RZE16" s="238">
        <f t="shared" ref="RZE16" si="6420">RZE11*0.0425</f>
        <v>0</v>
      </c>
      <c r="RZG16" s="238">
        <f t="shared" ref="RZG16" si="6421">RZG11*0.0425</f>
        <v>0</v>
      </c>
      <c r="RZI16" s="238">
        <f t="shared" ref="RZI16" si="6422">RZI11*0.0425</f>
        <v>0</v>
      </c>
      <c r="RZK16" s="238">
        <f t="shared" ref="RZK16" si="6423">RZK11*0.0425</f>
        <v>0</v>
      </c>
      <c r="RZM16" s="238">
        <f t="shared" ref="RZM16" si="6424">RZM11*0.0425</f>
        <v>0</v>
      </c>
      <c r="RZO16" s="238">
        <f t="shared" ref="RZO16" si="6425">RZO11*0.0425</f>
        <v>0</v>
      </c>
      <c r="RZQ16" s="238">
        <f t="shared" ref="RZQ16" si="6426">RZQ11*0.0425</f>
        <v>0</v>
      </c>
      <c r="RZS16" s="238">
        <f t="shared" ref="RZS16" si="6427">RZS11*0.0425</f>
        <v>0</v>
      </c>
      <c r="RZU16" s="238">
        <f t="shared" ref="RZU16" si="6428">RZU11*0.0425</f>
        <v>0</v>
      </c>
      <c r="RZW16" s="238">
        <f t="shared" ref="RZW16" si="6429">RZW11*0.0425</f>
        <v>0</v>
      </c>
      <c r="RZY16" s="238">
        <f t="shared" ref="RZY16" si="6430">RZY11*0.0425</f>
        <v>0</v>
      </c>
      <c r="SAA16" s="238">
        <f t="shared" ref="SAA16" si="6431">SAA11*0.0425</f>
        <v>0</v>
      </c>
      <c r="SAC16" s="238">
        <f t="shared" ref="SAC16" si="6432">SAC11*0.0425</f>
        <v>0</v>
      </c>
      <c r="SAE16" s="238">
        <f t="shared" ref="SAE16" si="6433">SAE11*0.0425</f>
        <v>0</v>
      </c>
      <c r="SAG16" s="238">
        <f t="shared" ref="SAG16" si="6434">SAG11*0.0425</f>
        <v>0</v>
      </c>
      <c r="SAI16" s="238">
        <f t="shared" ref="SAI16" si="6435">SAI11*0.0425</f>
        <v>0</v>
      </c>
      <c r="SAK16" s="238">
        <f t="shared" ref="SAK16" si="6436">SAK11*0.0425</f>
        <v>0</v>
      </c>
      <c r="SAM16" s="238">
        <f t="shared" ref="SAM16" si="6437">SAM11*0.0425</f>
        <v>0</v>
      </c>
      <c r="SAO16" s="238">
        <f t="shared" ref="SAO16" si="6438">SAO11*0.0425</f>
        <v>0</v>
      </c>
      <c r="SAQ16" s="238">
        <f t="shared" ref="SAQ16" si="6439">SAQ11*0.0425</f>
        <v>0</v>
      </c>
      <c r="SAS16" s="238">
        <f t="shared" ref="SAS16" si="6440">SAS11*0.0425</f>
        <v>0</v>
      </c>
      <c r="SAU16" s="238">
        <f t="shared" ref="SAU16" si="6441">SAU11*0.0425</f>
        <v>0</v>
      </c>
      <c r="SAW16" s="238">
        <f t="shared" ref="SAW16" si="6442">SAW11*0.0425</f>
        <v>0</v>
      </c>
      <c r="SAY16" s="238">
        <f t="shared" ref="SAY16" si="6443">SAY11*0.0425</f>
        <v>0</v>
      </c>
      <c r="SBA16" s="238">
        <f t="shared" ref="SBA16" si="6444">SBA11*0.0425</f>
        <v>0</v>
      </c>
      <c r="SBC16" s="238">
        <f t="shared" ref="SBC16" si="6445">SBC11*0.0425</f>
        <v>0</v>
      </c>
      <c r="SBE16" s="238">
        <f t="shared" ref="SBE16" si="6446">SBE11*0.0425</f>
        <v>0</v>
      </c>
      <c r="SBG16" s="238">
        <f t="shared" ref="SBG16" si="6447">SBG11*0.0425</f>
        <v>0</v>
      </c>
      <c r="SBI16" s="238">
        <f t="shared" ref="SBI16" si="6448">SBI11*0.0425</f>
        <v>0</v>
      </c>
      <c r="SBK16" s="238">
        <f t="shared" ref="SBK16" si="6449">SBK11*0.0425</f>
        <v>0</v>
      </c>
      <c r="SBM16" s="238">
        <f t="shared" ref="SBM16" si="6450">SBM11*0.0425</f>
        <v>0</v>
      </c>
      <c r="SBO16" s="238">
        <f t="shared" ref="SBO16" si="6451">SBO11*0.0425</f>
        <v>0</v>
      </c>
      <c r="SBQ16" s="238">
        <f t="shared" ref="SBQ16" si="6452">SBQ11*0.0425</f>
        <v>0</v>
      </c>
      <c r="SBS16" s="238">
        <f t="shared" ref="SBS16" si="6453">SBS11*0.0425</f>
        <v>0</v>
      </c>
      <c r="SBU16" s="238">
        <f t="shared" ref="SBU16" si="6454">SBU11*0.0425</f>
        <v>0</v>
      </c>
      <c r="SBW16" s="238">
        <f t="shared" ref="SBW16" si="6455">SBW11*0.0425</f>
        <v>0</v>
      </c>
      <c r="SBY16" s="238">
        <f t="shared" ref="SBY16" si="6456">SBY11*0.0425</f>
        <v>0</v>
      </c>
      <c r="SCA16" s="238">
        <f t="shared" ref="SCA16" si="6457">SCA11*0.0425</f>
        <v>0</v>
      </c>
      <c r="SCC16" s="238">
        <f t="shared" ref="SCC16" si="6458">SCC11*0.0425</f>
        <v>0</v>
      </c>
      <c r="SCE16" s="238">
        <f t="shared" ref="SCE16" si="6459">SCE11*0.0425</f>
        <v>0</v>
      </c>
      <c r="SCG16" s="238">
        <f t="shared" ref="SCG16" si="6460">SCG11*0.0425</f>
        <v>0</v>
      </c>
      <c r="SCI16" s="238">
        <f t="shared" ref="SCI16" si="6461">SCI11*0.0425</f>
        <v>0</v>
      </c>
      <c r="SCK16" s="238">
        <f t="shared" ref="SCK16" si="6462">SCK11*0.0425</f>
        <v>0</v>
      </c>
      <c r="SCM16" s="238">
        <f t="shared" ref="SCM16" si="6463">SCM11*0.0425</f>
        <v>0</v>
      </c>
      <c r="SCO16" s="238">
        <f t="shared" ref="SCO16" si="6464">SCO11*0.0425</f>
        <v>0</v>
      </c>
      <c r="SCQ16" s="238">
        <f t="shared" ref="SCQ16" si="6465">SCQ11*0.0425</f>
        <v>0</v>
      </c>
      <c r="SCS16" s="238">
        <f t="shared" ref="SCS16" si="6466">SCS11*0.0425</f>
        <v>0</v>
      </c>
      <c r="SCU16" s="238">
        <f t="shared" ref="SCU16" si="6467">SCU11*0.0425</f>
        <v>0</v>
      </c>
      <c r="SCW16" s="238">
        <f t="shared" ref="SCW16" si="6468">SCW11*0.0425</f>
        <v>0</v>
      </c>
      <c r="SCY16" s="238">
        <f t="shared" ref="SCY16" si="6469">SCY11*0.0425</f>
        <v>0</v>
      </c>
      <c r="SDA16" s="238">
        <f t="shared" ref="SDA16" si="6470">SDA11*0.0425</f>
        <v>0</v>
      </c>
      <c r="SDC16" s="238">
        <f t="shared" ref="SDC16" si="6471">SDC11*0.0425</f>
        <v>0</v>
      </c>
      <c r="SDE16" s="238">
        <f t="shared" ref="SDE16" si="6472">SDE11*0.0425</f>
        <v>0</v>
      </c>
      <c r="SDG16" s="238">
        <f t="shared" ref="SDG16" si="6473">SDG11*0.0425</f>
        <v>0</v>
      </c>
      <c r="SDI16" s="238">
        <f t="shared" ref="SDI16" si="6474">SDI11*0.0425</f>
        <v>0</v>
      </c>
      <c r="SDK16" s="238">
        <f t="shared" ref="SDK16" si="6475">SDK11*0.0425</f>
        <v>0</v>
      </c>
      <c r="SDM16" s="238">
        <f t="shared" ref="SDM16" si="6476">SDM11*0.0425</f>
        <v>0</v>
      </c>
      <c r="SDO16" s="238">
        <f t="shared" ref="SDO16" si="6477">SDO11*0.0425</f>
        <v>0</v>
      </c>
      <c r="SDQ16" s="238">
        <f t="shared" ref="SDQ16" si="6478">SDQ11*0.0425</f>
        <v>0</v>
      </c>
      <c r="SDS16" s="238">
        <f t="shared" ref="SDS16" si="6479">SDS11*0.0425</f>
        <v>0</v>
      </c>
      <c r="SDU16" s="238">
        <f t="shared" ref="SDU16" si="6480">SDU11*0.0425</f>
        <v>0</v>
      </c>
      <c r="SDW16" s="238">
        <f t="shared" ref="SDW16" si="6481">SDW11*0.0425</f>
        <v>0</v>
      </c>
      <c r="SDY16" s="238">
        <f t="shared" ref="SDY16" si="6482">SDY11*0.0425</f>
        <v>0</v>
      </c>
      <c r="SEA16" s="238">
        <f t="shared" ref="SEA16" si="6483">SEA11*0.0425</f>
        <v>0</v>
      </c>
      <c r="SEC16" s="238">
        <f t="shared" ref="SEC16" si="6484">SEC11*0.0425</f>
        <v>0</v>
      </c>
      <c r="SEE16" s="238">
        <f t="shared" ref="SEE16" si="6485">SEE11*0.0425</f>
        <v>0</v>
      </c>
      <c r="SEG16" s="238">
        <f t="shared" ref="SEG16" si="6486">SEG11*0.0425</f>
        <v>0</v>
      </c>
      <c r="SEI16" s="238">
        <f t="shared" ref="SEI16" si="6487">SEI11*0.0425</f>
        <v>0</v>
      </c>
      <c r="SEK16" s="238">
        <f t="shared" ref="SEK16" si="6488">SEK11*0.0425</f>
        <v>0</v>
      </c>
      <c r="SEM16" s="238">
        <f t="shared" ref="SEM16" si="6489">SEM11*0.0425</f>
        <v>0</v>
      </c>
      <c r="SEO16" s="238">
        <f t="shared" ref="SEO16" si="6490">SEO11*0.0425</f>
        <v>0</v>
      </c>
      <c r="SEQ16" s="238">
        <f t="shared" ref="SEQ16" si="6491">SEQ11*0.0425</f>
        <v>0</v>
      </c>
      <c r="SES16" s="238">
        <f t="shared" ref="SES16" si="6492">SES11*0.0425</f>
        <v>0</v>
      </c>
      <c r="SEU16" s="238">
        <f t="shared" ref="SEU16" si="6493">SEU11*0.0425</f>
        <v>0</v>
      </c>
      <c r="SEW16" s="238">
        <f t="shared" ref="SEW16" si="6494">SEW11*0.0425</f>
        <v>0</v>
      </c>
      <c r="SEY16" s="238">
        <f t="shared" ref="SEY16" si="6495">SEY11*0.0425</f>
        <v>0</v>
      </c>
      <c r="SFA16" s="238">
        <f t="shared" ref="SFA16" si="6496">SFA11*0.0425</f>
        <v>0</v>
      </c>
      <c r="SFC16" s="238">
        <f t="shared" ref="SFC16" si="6497">SFC11*0.0425</f>
        <v>0</v>
      </c>
      <c r="SFE16" s="238">
        <f t="shared" ref="SFE16" si="6498">SFE11*0.0425</f>
        <v>0</v>
      </c>
      <c r="SFG16" s="238">
        <f t="shared" ref="SFG16" si="6499">SFG11*0.0425</f>
        <v>0</v>
      </c>
      <c r="SFI16" s="238">
        <f t="shared" ref="SFI16" si="6500">SFI11*0.0425</f>
        <v>0</v>
      </c>
      <c r="SFK16" s="238">
        <f t="shared" ref="SFK16" si="6501">SFK11*0.0425</f>
        <v>0</v>
      </c>
      <c r="SFM16" s="238">
        <f t="shared" ref="SFM16" si="6502">SFM11*0.0425</f>
        <v>0</v>
      </c>
      <c r="SFO16" s="238">
        <f t="shared" ref="SFO16" si="6503">SFO11*0.0425</f>
        <v>0</v>
      </c>
      <c r="SFQ16" s="238">
        <f t="shared" ref="SFQ16" si="6504">SFQ11*0.0425</f>
        <v>0</v>
      </c>
      <c r="SFS16" s="238">
        <f t="shared" ref="SFS16" si="6505">SFS11*0.0425</f>
        <v>0</v>
      </c>
      <c r="SFU16" s="238">
        <f t="shared" ref="SFU16" si="6506">SFU11*0.0425</f>
        <v>0</v>
      </c>
      <c r="SFW16" s="238">
        <f t="shared" ref="SFW16" si="6507">SFW11*0.0425</f>
        <v>0</v>
      </c>
      <c r="SFY16" s="238">
        <f t="shared" ref="SFY16" si="6508">SFY11*0.0425</f>
        <v>0</v>
      </c>
      <c r="SGA16" s="238">
        <f t="shared" ref="SGA16" si="6509">SGA11*0.0425</f>
        <v>0</v>
      </c>
      <c r="SGC16" s="238">
        <f t="shared" ref="SGC16" si="6510">SGC11*0.0425</f>
        <v>0</v>
      </c>
      <c r="SGE16" s="238">
        <f t="shared" ref="SGE16" si="6511">SGE11*0.0425</f>
        <v>0</v>
      </c>
      <c r="SGG16" s="238">
        <f t="shared" ref="SGG16" si="6512">SGG11*0.0425</f>
        <v>0</v>
      </c>
      <c r="SGI16" s="238">
        <f t="shared" ref="SGI16" si="6513">SGI11*0.0425</f>
        <v>0</v>
      </c>
      <c r="SGK16" s="238">
        <f t="shared" ref="SGK16" si="6514">SGK11*0.0425</f>
        <v>0</v>
      </c>
      <c r="SGM16" s="238">
        <f t="shared" ref="SGM16" si="6515">SGM11*0.0425</f>
        <v>0</v>
      </c>
      <c r="SGO16" s="238">
        <f t="shared" ref="SGO16" si="6516">SGO11*0.0425</f>
        <v>0</v>
      </c>
      <c r="SGQ16" s="238">
        <f t="shared" ref="SGQ16" si="6517">SGQ11*0.0425</f>
        <v>0</v>
      </c>
      <c r="SGS16" s="238">
        <f t="shared" ref="SGS16" si="6518">SGS11*0.0425</f>
        <v>0</v>
      </c>
      <c r="SGU16" s="238">
        <f t="shared" ref="SGU16" si="6519">SGU11*0.0425</f>
        <v>0</v>
      </c>
      <c r="SGW16" s="238">
        <f t="shared" ref="SGW16" si="6520">SGW11*0.0425</f>
        <v>0</v>
      </c>
      <c r="SGY16" s="238">
        <f t="shared" ref="SGY16" si="6521">SGY11*0.0425</f>
        <v>0</v>
      </c>
      <c r="SHA16" s="238">
        <f t="shared" ref="SHA16" si="6522">SHA11*0.0425</f>
        <v>0</v>
      </c>
      <c r="SHC16" s="238">
        <f t="shared" ref="SHC16" si="6523">SHC11*0.0425</f>
        <v>0</v>
      </c>
      <c r="SHE16" s="238">
        <f t="shared" ref="SHE16" si="6524">SHE11*0.0425</f>
        <v>0</v>
      </c>
      <c r="SHG16" s="238">
        <f t="shared" ref="SHG16" si="6525">SHG11*0.0425</f>
        <v>0</v>
      </c>
      <c r="SHI16" s="238">
        <f t="shared" ref="SHI16" si="6526">SHI11*0.0425</f>
        <v>0</v>
      </c>
      <c r="SHK16" s="238">
        <f t="shared" ref="SHK16" si="6527">SHK11*0.0425</f>
        <v>0</v>
      </c>
      <c r="SHM16" s="238">
        <f t="shared" ref="SHM16" si="6528">SHM11*0.0425</f>
        <v>0</v>
      </c>
      <c r="SHO16" s="238">
        <f t="shared" ref="SHO16" si="6529">SHO11*0.0425</f>
        <v>0</v>
      </c>
      <c r="SHQ16" s="238">
        <f t="shared" ref="SHQ16" si="6530">SHQ11*0.0425</f>
        <v>0</v>
      </c>
      <c r="SHS16" s="238">
        <f t="shared" ref="SHS16" si="6531">SHS11*0.0425</f>
        <v>0</v>
      </c>
      <c r="SHU16" s="238">
        <f t="shared" ref="SHU16" si="6532">SHU11*0.0425</f>
        <v>0</v>
      </c>
      <c r="SHW16" s="238">
        <f t="shared" ref="SHW16" si="6533">SHW11*0.0425</f>
        <v>0</v>
      </c>
      <c r="SHY16" s="238">
        <f t="shared" ref="SHY16" si="6534">SHY11*0.0425</f>
        <v>0</v>
      </c>
      <c r="SIA16" s="238">
        <f t="shared" ref="SIA16" si="6535">SIA11*0.0425</f>
        <v>0</v>
      </c>
      <c r="SIC16" s="238">
        <f t="shared" ref="SIC16" si="6536">SIC11*0.0425</f>
        <v>0</v>
      </c>
      <c r="SIE16" s="238">
        <f t="shared" ref="SIE16" si="6537">SIE11*0.0425</f>
        <v>0</v>
      </c>
      <c r="SIG16" s="238">
        <f t="shared" ref="SIG16" si="6538">SIG11*0.0425</f>
        <v>0</v>
      </c>
      <c r="SII16" s="238">
        <f t="shared" ref="SII16" si="6539">SII11*0.0425</f>
        <v>0</v>
      </c>
      <c r="SIK16" s="238">
        <f t="shared" ref="SIK16" si="6540">SIK11*0.0425</f>
        <v>0</v>
      </c>
      <c r="SIM16" s="238">
        <f t="shared" ref="SIM16" si="6541">SIM11*0.0425</f>
        <v>0</v>
      </c>
      <c r="SIO16" s="238">
        <f t="shared" ref="SIO16" si="6542">SIO11*0.0425</f>
        <v>0</v>
      </c>
      <c r="SIQ16" s="238">
        <f t="shared" ref="SIQ16" si="6543">SIQ11*0.0425</f>
        <v>0</v>
      </c>
      <c r="SIS16" s="238">
        <f t="shared" ref="SIS16" si="6544">SIS11*0.0425</f>
        <v>0</v>
      </c>
      <c r="SIU16" s="238">
        <f t="shared" ref="SIU16" si="6545">SIU11*0.0425</f>
        <v>0</v>
      </c>
      <c r="SIW16" s="238">
        <f t="shared" ref="SIW16" si="6546">SIW11*0.0425</f>
        <v>0</v>
      </c>
      <c r="SIY16" s="238">
        <f t="shared" ref="SIY16" si="6547">SIY11*0.0425</f>
        <v>0</v>
      </c>
      <c r="SJA16" s="238">
        <f t="shared" ref="SJA16" si="6548">SJA11*0.0425</f>
        <v>0</v>
      </c>
      <c r="SJC16" s="238">
        <f t="shared" ref="SJC16" si="6549">SJC11*0.0425</f>
        <v>0</v>
      </c>
      <c r="SJE16" s="238">
        <f t="shared" ref="SJE16" si="6550">SJE11*0.0425</f>
        <v>0</v>
      </c>
      <c r="SJG16" s="238">
        <f t="shared" ref="SJG16" si="6551">SJG11*0.0425</f>
        <v>0</v>
      </c>
      <c r="SJI16" s="238">
        <f t="shared" ref="SJI16" si="6552">SJI11*0.0425</f>
        <v>0</v>
      </c>
      <c r="SJK16" s="238">
        <f t="shared" ref="SJK16" si="6553">SJK11*0.0425</f>
        <v>0</v>
      </c>
      <c r="SJM16" s="238">
        <f t="shared" ref="SJM16" si="6554">SJM11*0.0425</f>
        <v>0</v>
      </c>
      <c r="SJO16" s="238">
        <f t="shared" ref="SJO16" si="6555">SJO11*0.0425</f>
        <v>0</v>
      </c>
      <c r="SJQ16" s="238">
        <f t="shared" ref="SJQ16" si="6556">SJQ11*0.0425</f>
        <v>0</v>
      </c>
      <c r="SJS16" s="238">
        <f t="shared" ref="SJS16" si="6557">SJS11*0.0425</f>
        <v>0</v>
      </c>
      <c r="SJU16" s="238">
        <f t="shared" ref="SJU16" si="6558">SJU11*0.0425</f>
        <v>0</v>
      </c>
      <c r="SJW16" s="238">
        <f t="shared" ref="SJW16" si="6559">SJW11*0.0425</f>
        <v>0</v>
      </c>
      <c r="SJY16" s="238">
        <f t="shared" ref="SJY16" si="6560">SJY11*0.0425</f>
        <v>0</v>
      </c>
      <c r="SKA16" s="238">
        <f t="shared" ref="SKA16" si="6561">SKA11*0.0425</f>
        <v>0</v>
      </c>
      <c r="SKC16" s="238">
        <f t="shared" ref="SKC16" si="6562">SKC11*0.0425</f>
        <v>0</v>
      </c>
      <c r="SKE16" s="238">
        <f t="shared" ref="SKE16" si="6563">SKE11*0.0425</f>
        <v>0</v>
      </c>
      <c r="SKG16" s="238">
        <f t="shared" ref="SKG16" si="6564">SKG11*0.0425</f>
        <v>0</v>
      </c>
      <c r="SKI16" s="238">
        <f t="shared" ref="SKI16" si="6565">SKI11*0.0425</f>
        <v>0</v>
      </c>
      <c r="SKK16" s="238">
        <f t="shared" ref="SKK16" si="6566">SKK11*0.0425</f>
        <v>0</v>
      </c>
      <c r="SKM16" s="238">
        <f t="shared" ref="SKM16" si="6567">SKM11*0.0425</f>
        <v>0</v>
      </c>
      <c r="SKO16" s="238">
        <f t="shared" ref="SKO16" si="6568">SKO11*0.0425</f>
        <v>0</v>
      </c>
      <c r="SKQ16" s="238">
        <f t="shared" ref="SKQ16" si="6569">SKQ11*0.0425</f>
        <v>0</v>
      </c>
      <c r="SKS16" s="238">
        <f t="shared" ref="SKS16" si="6570">SKS11*0.0425</f>
        <v>0</v>
      </c>
      <c r="SKU16" s="238">
        <f t="shared" ref="SKU16" si="6571">SKU11*0.0425</f>
        <v>0</v>
      </c>
      <c r="SKW16" s="238">
        <f t="shared" ref="SKW16" si="6572">SKW11*0.0425</f>
        <v>0</v>
      </c>
      <c r="SKY16" s="238">
        <f t="shared" ref="SKY16" si="6573">SKY11*0.0425</f>
        <v>0</v>
      </c>
      <c r="SLA16" s="238">
        <f t="shared" ref="SLA16" si="6574">SLA11*0.0425</f>
        <v>0</v>
      </c>
      <c r="SLC16" s="238">
        <f t="shared" ref="SLC16" si="6575">SLC11*0.0425</f>
        <v>0</v>
      </c>
      <c r="SLE16" s="238">
        <f t="shared" ref="SLE16" si="6576">SLE11*0.0425</f>
        <v>0</v>
      </c>
      <c r="SLG16" s="238">
        <f t="shared" ref="SLG16" si="6577">SLG11*0.0425</f>
        <v>0</v>
      </c>
      <c r="SLI16" s="238">
        <f t="shared" ref="SLI16" si="6578">SLI11*0.0425</f>
        <v>0</v>
      </c>
      <c r="SLK16" s="238">
        <f t="shared" ref="SLK16" si="6579">SLK11*0.0425</f>
        <v>0</v>
      </c>
      <c r="SLM16" s="238">
        <f t="shared" ref="SLM16" si="6580">SLM11*0.0425</f>
        <v>0</v>
      </c>
      <c r="SLO16" s="238">
        <f t="shared" ref="SLO16" si="6581">SLO11*0.0425</f>
        <v>0</v>
      </c>
      <c r="SLQ16" s="238">
        <f t="shared" ref="SLQ16" si="6582">SLQ11*0.0425</f>
        <v>0</v>
      </c>
      <c r="SLS16" s="238">
        <f t="shared" ref="SLS16" si="6583">SLS11*0.0425</f>
        <v>0</v>
      </c>
      <c r="SLU16" s="238">
        <f t="shared" ref="SLU16" si="6584">SLU11*0.0425</f>
        <v>0</v>
      </c>
      <c r="SLW16" s="238">
        <f t="shared" ref="SLW16" si="6585">SLW11*0.0425</f>
        <v>0</v>
      </c>
      <c r="SLY16" s="238">
        <f t="shared" ref="SLY16" si="6586">SLY11*0.0425</f>
        <v>0</v>
      </c>
      <c r="SMA16" s="238">
        <f t="shared" ref="SMA16" si="6587">SMA11*0.0425</f>
        <v>0</v>
      </c>
      <c r="SMC16" s="238">
        <f t="shared" ref="SMC16" si="6588">SMC11*0.0425</f>
        <v>0</v>
      </c>
      <c r="SME16" s="238">
        <f t="shared" ref="SME16" si="6589">SME11*0.0425</f>
        <v>0</v>
      </c>
      <c r="SMG16" s="238">
        <f t="shared" ref="SMG16" si="6590">SMG11*0.0425</f>
        <v>0</v>
      </c>
      <c r="SMI16" s="238">
        <f t="shared" ref="SMI16" si="6591">SMI11*0.0425</f>
        <v>0</v>
      </c>
      <c r="SMK16" s="238">
        <f t="shared" ref="SMK16" si="6592">SMK11*0.0425</f>
        <v>0</v>
      </c>
      <c r="SMM16" s="238">
        <f t="shared" ref="SMM16" si="6593">SMM11*0.0425</f>
        <v>0</v>
      </c>
      <c r="SMO16" s="238">
        <f t="shared" ref="SMO16" si="6594">SMO11*0.0425</f>
        <v>0</v>
      </c>
      <c r="SMQ16" s="238">
        <f t="shared" ref="SMQ16" si="6595">SMQ11*0.0425</f>
        <v>0</v>
      </c>
      <c r="SMS16" s="238">
        <f t="shared" ref="SMS16" si="6596">SMS11*0.0425</f>
        <v>0</v>
      </c>
      <c r="SMU16" s="238">
        <f t="shared" ref="SMU16" si="6597">SMU11*0.0425</f>
        <v>0</v>
      </c>
      <c r="SMW16" s="238">
        <f t="shared" ref="SMW16" si="6598">SMW11*0.0425</f>
        <v>0</v>
      </c>
      <c r="SMY16" s="238">
        <f t="shared" ref="SMY16" si="6599">SMY11*0.0425</f>
        <v>0</v>
      </c>
      <c r="SNA16" s="238">
        <f t="shared" ref="SNA16" si="6600">SNA11*0.0425</f>
        <v>0</v>
      </c>
      <c r="SNC16" s="238">
        <f t="shared" ref="SNC16" si="6601">SNC11*0.0425</f>
        <v>0</v>
      </c>
      <c r="SNE16" s="238">
        <f t="shared" ref="SNE16" si="6602">SNE11*0.0425</f>
        <v>0</v>
      </c>
      <c r="SNG16" s="238">
        <f t="shared" ref="SNG16" si="6603">SNG11*0.0425</f>
        <v>0</v>
      </c>
      <c r="SNI16" s="238">
        <f t="shared" ref="SNI16" si="6604">SNI11*0.0425</f>
        <v>0</v>
      </c>
      <c r="SNK16" s="238">
        <f t="shared" ref="SNK16" si="6605">SNK11*0.0425</f>
        <v>0</v>
      </c>
      <c r="SNM16" s="238">
        <f t="shared" ref="SNM16" si="6606">SNM11*0.0425</f>
        <v>0</v>
      </c>
      <c r="SNO16" s="238">
        <f t="shared" ref="SNO16" si="6607">SNO11*0.0425</f>
        <v>0</v>
      </c>
      <c r="SNQ16" s="238">
        <f t="shared" ref="SNQ16" si="6608">SNQ11*0.0425</f>
        <v>0</v>
      </c>
      <c r="SNS16" s="238">
        <f t="shared" ref="SNS16" si="6609">SNS11*0.0425</f>
        <v>0</v>
      </c>
      <c r="SNU16" s="238">
        <f t="shared" ref="SNU16" si="6610">SNU11*0.0425</f>
        <v>0</v>
      </c>
      <c r="SNW16" s="238">
        <f t="shared" ref="SNW16" si="6611">SNW11*0.0425</f>
        <v>0</v>
      </c>
      <c r="SNY16" s="238">
        <f t="shared" ref="SNY16" si="6612">SNY11*0.0425</f>
        <v>0</v>
      </c>
      <c r="SOA16" s="238">
        <f t="shared" ref="SOA16" si="6613">SOA11*0.0425</f>
        <v>0</v>
      </c>
      <c r="SOC16" s="238">
        <f t="shared" ref="SOC16" si="6614">SOC11*0.0425</f>
        <v>0</v>
      </c>
      <c r="SOE16" s="238">
        <f t="shared" ref="SOE16" si="6615">SOE11*0.0425</f>
        <v>0</v>
      </c>
      <c r="SOG16" s="238">
        <f t="shared" ref="SOG16" si="6616">SOG11*0.0425</f>
        <v>0</v>
      </c>
      <c r="SOI16" s="238">
        <f t="shared" ref="SOI16" si="6617">SOI11*0.0425</f>
        <v>0</v>
      </c>
      <c r="SOK16" s="238">
        <f t="shared" ref="SOK16" si="6618">SOK11*0.0425</f>
        <v>0</v>
      </c>
      <c r="SOM16" s="238">
        <f t="shared" ref="SOM16" si="6619">SOM11*0.0425</f>
        <v>0</v>
      </c>
      <c r="SOO16" s="238">
        <f t="shared" ref="SOO16" si="6620">SOO11*0.0425</f>
        <v>0</v>
      </c>
      <c r="SOQ16" s="238">
        <f t="shared" ref="SOQ16" si="6621">SOQ11*0.0425</f>
        <v>0</v>
      </c>
      <c r="SOS16" s="238">
        <f t="shared" ref="SOS16" si="6622">SOS11*0.0425</f>
        <v>0</v>
      </c>
      <c r="SOU16" s="238">
        <f t="shared" ref="SOU16" si="6623">SOU11*0.0425</f>
        <v>0</v>
      </c>
      <c r="SOW16" s="238">
        <f t="shared" ref="SOW16" si="6624">SOW11*0.0425</f>
        <v>0</v>
      </c>
      <c r="SOY16" s="238">
        <f t="shared" ref="SOY16" si="6625">SOY11*0.0425</f>
        <v>0</v>
      </c>
      <c r="SPA16" s="238">
        <f t="shared" ref="SPA16" si="6626">SPA11*0.0425</f>
        <v>0</v>
      </c>
      <c r="SPC16" s="238">
        <f t="shared" ref="SPC16" si="6627">SPC11*0.0425</f>
        <v>0</v>
      </c>
      <c r="SPE16" s="238">
        <f t="shared" ref="SPE16" si="6628">SPE11*0.0425</f>
        <v>0</v>
      </c>
      <c r="SPG16" s="238">
        <f t="shared" ref="SPG16" si="6629">SPG11*0.0425</f>
        <v>0</v>
      </c>
      <c r="SPI16" s="238">
        <f t="shared" ref="SPI16" si="6630">SPI11*0.0425</f>
        <v>0</v>
      </c>
      <c r="SPK16" s="238">
        <f t="shared" ref="SPK16" si="6631">SPK11*0.0425</f>
        <v>0</v>
      </c>
      <c r="SPM16" s="238">
        <f t="shared" ref="SPM16" si="6632">SPM11*0.0425</f>
        <v>0</v>
      </c>
      <c r="SPO16" s="238">
        <f t="shared" ref="SPO16" si="6633">SPO11*0.0425</f>
        <v>0</v>
      </c>
      <c r="SPQ16" s="238">
        <f t="shared" ref="SPQ16" si="6634">SPQ11*0.0425</f>
        <v>0</v>
      </c>
      <c r="SPS16" s="238">
        <f t="shared" ref="SPS16" si="6635">SPS11*0.0425</f>
        <v>0</v>
      </c>
      <c r="SPU16" s="238">
        <f t="shared" ref="SPU16" si="6636">SPU11*0.0425</f>
        <v>0</v>
      </c>
      <c r="SPW16" s="238">
        <f t="shared" ref="SPW16" si="6637">SPW11*0.0425</f>
        <v>0</v>
      </c>
      <c r="SPY16" s="238">
        <f t="shared" ref="SPY16" si="6638">SPY11*0.0425</f>
        <v>0</v>
      </c>
      <c r="SQA16" s="238">
        <f t="shared" ref="SQA16" si="6639">SQA11*0.0425</f>
        <v>0</v>
      </c>
      <c r="SQC16" s="238">
        <f t="shared" ref="SQC16" si="6640">SQC11*0.0425</f>
        <v>0</v>
      </c>
      <c r="SQE16" s="238">
        <f t="shared" ref="SQE16" si="6641">SQE11*0.0425</f>
        <v>0</v>
      </c>
      <c r="SQG16" s="238">
        <f t="shared" ref="SQG16" si="6642">SQG11*0.0425</f>
        <v>0</v>
      </c>
      <c r="SQI16" s="238">
        <f t="shared" ref="SQI16" si="6643">SQI11*0.0425</f>
        <v>0</v>
      </c>
      <c r="SQK16" s="238">
        <f t="shared" ref="SQK16" si="6644">SQK11*0.0425</f>
        <v>0</v>
      </c>
      <c r="SQM16" s="238">
        <f t="shared" ref="SQM16" si="6645">SQM11*0.0425</f>
        <v>0</v>
      </c>
      <c r="SQO16" s="238">
        <f t="shared" ref="SQO16" si="6646">SQO11*0.0425</f>
        <v>0</v>
      </c>
      <c r="SQQ16" s="238">
        <f t="shared" ref="SQQ16" si="6647">SQQ11*0.0425</f>
        <v>0</v>
      </c>
      <c r="SQS16" s="238">
        <f t="shared" ref="SQS16" si="6648">SQS11*0.0425</f>
        <v>0</v>
      </c>
      <c r="SQU16" s="238">
        <f t="shared" ref="SQU16" si="6649">SQU11*0.0425</f>
        <v>0</v>
      </c>
      <c r="SQW16" s="238">
        <f t="shared" ref="SQW16" si="6650">SQW11*0.0425</f>
        <v>0</v>
      </c>
      <c r="SQY16" s="238">
        <f t="shared" ref="SQY16" si="6651">SQY11*0.0425</f>
        <v>0</v>
      </c>
      <c r="SRA16" s="238">
        <f t="shared" ref="SRA16" si="6652">SRA11*0.0425</f>
        <v>0</v>
      </c>
      <c r="SRC16" s="238">
        <f t="shared" ref="SRC16" si="6653">SRC11*0.0425</f>
        <v>0</v>
      </c>
      <c r="SRE16" s="238">
        <f t="shared" ref="SRE16" si="6654">SRE11*0.0425</f>
        <v>0</v>
      </c>
      <c r="SRG16" s="238">
        <f t="shared" ref="SRG16" si="6655">SRG11*0.0425</f>
        <v>0</v>
      </c>
      <c r="SRI16" s="238">
        <f t="shared" ref="SRI16" si="6656">SRI11*0.0425</f>
        <v>0</v>
      </c>
      <c r="SRK16" s="238">
        <f t="shared" ref="SRK16" si="6657">SRK11*0.0425</f>
        <v>0</v>
      </c>
      <c r="SRM16" s="238">
        <f t="shared" ref="SRM16" si="6658">SRM11*0.0425</f>
        <v>0</v>
      </c>
      <c r="SRO16" s="238">
        <f t="shared" ref="SRO16" si="6659">SRO11*0.0425</f>
        <v>0</v>
      </c>
      <c r="SRQ16" s="238">
        <f t="shared" ref="SRQ16" si="6660">SRQ11*0.0425</f>
        <v>0</v>
      </c>
      <c r="SRS16" s="238">
        <f t="shared" ref="SRS16" si="6661">SRS11*0.0425</f>
        <v>0</v>
      </c>
      <c r="SRU16" s="238">
        <f t="shared" ref="SRU16" si="6662">SRU11*0.0425</f>
        <v>0</v>
      </c>
      <c r="SRW16" s="238">
        <f t="shared" ref="SRW16" si="6663">SRW11*0.0425</f>
        <v>0</v>
      </c>
      <c r="SRY16" s="238">
        <f t="shared" ref="SRY16" si="6664">SRY11*0.0425</f>
        <v>0</v>
      </c>
      <c r="SSA16" s="238">
        <f t="shared" ref="SSA16" si="6665">SSA11*0.0425</f>
        <v>0</v>
      </c>
      <c r="SSC16" s="238">
        <f t="shared" ref="SSC16" si="6666">SSC11*0.0425</f>
        <v>0</v>
      </c>
      <c r="SSE16" s="238">
        <f t="shared" ref="SSE16" si="6667">SSE11*0.0425</f>
        <v>0</v>
      </c>
      <c r="SSG16" s="238">
        <f t="shared" ref="SSG16" si="6668">SSG11*0.0425</f>
        <v>0</v>
      </c>
      <c r="SSI16" s="238">
        <f t="shared" ref="SSI16" si="6669">SSI11*0.0425</f>
        <v>0</v>
      </c>
      <c r="SSK16" s="238">
        <f t="shared" ref="SSK16" si="6670">SSK11*0.0425</f>
        <v>0</v>
      </c>
      <c r="SSM16" s="238">
        <f t="shared" ref="SSM16" si="6671">SSM11*0.0425</f>
        <v>0</v>
      </c>
      <c r="SSO16" s="238">
        <f t="shared" ref="SSO16" si="6672">SSO11*0.0425</f>
        <v>0</v>
      </c>
      <c r="SSQ16" s="238">
        <f t="shared" ref="SSQ16" si="6673">SSQ11*0.0425</f>
        <v>0</v>
      </c>
      <c r="SSS16" s="238">
        <f t="shared" ref="SSS16" si="6674">SSS11*0.0425</f>
        <v>0</v>
      </c>
      <c r="SSU16" s="238">
        <f t="shared" ref="SSU16" si="6675">SSU11*0.0425</f>
        <v>0</v>
      </c>
      <c r="SSW16" s="238">
        <f t="shared" ref="SSW16" si="6676">SSW11*0.0425</f>
        <v>0</v>
      </c>
      <c r="SSY16" s="238">
        <f t="shared" ref="SSY16" si="6677">SSY11*0.0425</f>
        <v>0</v>
      </c>
      <c r="STA16" s="238">
        <f t="shared" ref="STA16" si="6678">STA11*0.0425</f>
        <v>0</v>
      </c>
      <c r="STC16" s="238">
        <f t="shared" ref="STC16" si="6679">STC11*0.0425</f>
        <v>0</v>
      </c>
      <c r="STE16" s="238">
        <f t="shared" ref="STE16" si="6680">STE11*0.0425</f>
        <v>0</v>
      </c>
      <c r="STG16" s="238">
        <f t="shared" ref="STG16" si="6681">STG11*0.0425</f>
        <v>0</v>
      </c>
      <c r="STI16" s="238">
        <f t="shared" ref="STI16" si="6682">STI11*0.0425</f>
        <v>0</v>
      </c>
      <c r="STK16" s="238">
        <f t="shared" ref="STK16" si="6683">STK11*0.0425</f>
        <v>0</v>
      </c>
      <c r="STM16" s="238">
        <f t="shared" ref="STM16" si="6684">STM11*0.0425</f>
        <v>0</v>
      </c>
      <c r="STO16" s="238">
        <f t="shared" ref="STO16" si="6685">STO11*0.0425</f>
        <v>0</v>
      </c>
      <c r="STQ16" s="238">
        <f t="shared" ref="STQ16" si="6686">STQ11*0.0425</f>
        <v>0</v>
      </c>
      <c r="STS16" s="238">
        <f t="shared" ref="STS16" si="6687">STS11*0.0425</f>
        <v>0</v>
      </c>
      <c r="STU16" s="238">
        <f t="shared" ref="STU16" si="6688">STU11*0.0425</f>
        <v>0</v>
      </c>
      <c r="STW16" s="238">
        <f t="shared" ref="STW16" si="6689">STW11*0.0425</f>
        <v>0</v>
      </c>
      <c r="STY16" s="238">
        <f t="shared" ref="STY16" si="6690">STY11*0.0425</f>
        <v>0</v>
      </c>
      <c r="SUA16" s="238">
        <f t="shared" ref="SUA16" si="6691">SUA11*0.0425</f>
        <v>0</v>
      </c>
      <c r="SUC16" s="238">
        <f t="shared" ref="SUC16" si="6692">SUC11*0.0425</f>
        <v>0</v>
      </c>
      <c r="SUE16" s="238">
        <f t="shared" ref="SUE16" si="6693">SUE11*0.0425</f>
        <v>0</v>
      </c>
      <c r="SUG16" s="238">
        <f t="shared" ref="SUG16" si="6694">SUG11*0.0425</f>
        <v>0</v>
      </c>
      <c r="SUI16" s="238">
        <f t="shared" ref="SUI16" si="6695">SUI11*0.0425</f>
        <v>0</v>
      </c>
      <c r="SUK16" s="238">
        <f t="shared" ref="SUK16" si="6696">SUK11*0.0425</f>
        <v>0</v>
      </c>
      <c r="SUM16" s="238">
        <f t="shared" ref="SUM16" si="6697">SUM11*0.0425</f>
        <v>0</v>
      </c>
      <c r="SUO16" s="238">
        <f t="shared" ref="SUO16" si="6698">SUO11*0.0425</f>
        <v>0</v>
      </c>
      <c r="SUQ16" s="238">
        <f t="shared" ref="SUQ16" si="6699">SUQ11*0.0425</f>
        <v>0</v>
      </c>
      <c r="SUS16" s="238">
        <f t="shared" ref="SUS16" si="6700">SUS11*0.0425</f>
        <v>0</v>
      </c>
      <c r="SUU16" s="238">
        <f t="shared" ref="SUU16" si="6701">SUU11*0.0425</f>
        <v>0</v>
      </c>
      <c r="SUW16" s="238">
        <f t="shared" ref="SUW16" si="6702">SUW11*0.0425</f>
        <v>0</v>
      </c>
      <c r="SUY16" s="238">
        <f t="shared" ref="SUY16" si="6703">SUY11*0.0425</f>
        <v>0</v>
      </c>
      <c r="SVA16" s="238">
        <f t="shared" ref="SVA16" si="6704">SVA11*0.0425</f>
        <v>0</v>
      </c>
      <c r="SVC16" s="238">
        <f t="shared" ref="SVC16" si="6705">SVC11*0.0425</f>
        <v>0</v>
      </c>
      <c r="SVE16" s="238">
        <f t="shared" ref="SVE16" si="6706">SVE11*0.0425</f>
        <v>0</v>
      </c>
      <c r="SVG16" s="238">
        <f t="shared" ref="SVG16" si="6707">SVG11*0.0425</f>
        <v>0</v>
      </c>
      <c r="SVI16" s="238">
        <f t="shared" ref="SVI16" si="6708">SVI11*0.0425</f>
        <v>0</v>
      </c>
      <c r="SVK16" s="238">
        <f t="shared" ref="SVK16" si="6709">SVK11*0.0425</f>
        <v>0</v>
      </c>
      <c r="SVM16" s="238">
        <f t="shared" ref="SVM16" si="6710">SVM11*0.0425</f>
        <v>0</v>
      </c>
      <c r="SVO16" s="238">
        <f t="shared" ref="SVO16" si="6711">SVO11*0.0425</f>
        <v>0</v>
      </c>
      <c r="SVQ16" s="238">
        <f t="shared" ref="SVQ16" si="6712">SVQ11*0.0425</f>
        <v>0</v>
      </c>
      <c r="SVS16" s="238">
        <f t="shared" ref="SVS16" si="6713">SVS11*0.0425</f>
        <v>0</v>
      </c>
      <c r="SVU16" s="238">
        <f t="shared" ref="SVU16" si="6714">SVU11*0.0425</f>
        <v>0</v>
      </c>
      <c r="SVW16" s="238">
        <f t="shared" ref="SVW16" si="6715">SVW11*0.0425</f>
        <v>0</v>
      </c>
      <c r="SVY16" s="238">
        <f t="shared" ref="SVY16" si="6716">SVY11*0.0425</f>
        <v>0</v>
      </c>
      <c r="SWA16" s="238">
        <f t="shared" ref="SWA16" si="6717">SWA11*0.0425</f>
        <v>0</v>
      </c>
      <c r="SWC16" s="238">
        <f t="shared" ref="SWC16" si="6718">SWC11*0.0425</f>
        <v>0</v>
      </c>
      <c r="SWE16" s="238">
        <f t="shared" ref="SWE16" si="6719">SWE11*0.0425</f>
        <v>0</v>
      </c>
      <c r="SWG16" s="238">
        <f t="shared" ref="SWG16" si="6720">SWG11*0.0425</f>
        <v>0</v>
      </c>
      <c r="SWI16" s="238">
        <f t="shared" ref="SWI16" si="6721">SWI11*0.0425</f>
        <v>0</v>
      </c>
      <c r="SWK16" s="238">
        <f t="shared" ref="SWK16" si="6722">SWK11*0.0425</f>
        <v>0</v>
      </c>
      <c r="SWM16" s="238">
        <f t="shared" ref="SWM16" si="6723">SWM11*0.0425</f>
        <v>0</v>
      </c>
      <c r="SWO16" s="238">
        <f t="shared" ref="SWO16" si="6724">SWO11*0.0425</f>
        <v>0</v>
      </c>
      <c r="SWQ16" s="238">
        <f t="shared" ref="SWQ16" si="6725">SWQ11*0.0425</f>
        <v>0</v>
      </c>
      <c r="SWS16" s="238">
        <f t="shared" ref="SWS16" si="6726">SWS11*0.0425</f>
        <v>0</v>
      </c>
      <c r="SWU16" s="238">
        <f t="shared" ref="SWU16" si="6727">SWU11*0.0425</f>
        <v>0</v>
      </c>
      <c r="SWW16" s="238">
        <f t="shared" ref="SWW16" si="6728">SWW11*0.0425</f>
        <v>0</v>
      </c>
      <c r="SWY16" s="238">
        <f t="shared" ref="SWY16" si="6729">SWY11*0.0425</f>
        <v>0</v>
      </c>
      <c r="SXA16" s="238">
        <f t="shared" ref="SXA16" si="6730">SXA11*0.0425</f>
        <v>0</v>
      </c>
      <c r="SXC16" s="238">
        <f t="shared" ref="SXC16" si="6731">SXC11*0.0425</f>
        <v>0</v>
      </c>
      <c r="SXE16" s="238">
        <f t="shared" ref="SXE16" si="6732">SXE11*0.0425</f>
        <v>0</v>
      </c>
      <c r="SXG16" s="238">
        <f t="shared" ref="SXG16" si="6733">SXG11*0.0425</f>
        <v>0</v>
      </c>
      <c r="SXI16" s="238">
        <f t="shared" ref="SXI16" si="6734">SXI11*0.0425</f>
        <v>0</v>
      </c>
      <c r="SXK16" s="238">
        <f t="shared" ref="SXK16" si="6735">SXK11*0.0425</f>
        <v>0</v>
      </c>
      <c r="SXM16" s="238">
        <f t="shared" ref="SXM16" si="6736">SXM11*0.0425</f>
        <v>0</v>
      </c>
      <c r="SXO16" s="238">
        <f t="shared" ref="SXO16" si="6737">SXO11*0.0425</f>
        <v>0</v>
      </c>
      <c r="SXQ16" s="238">
        <f t="shared" ref="SXQ16" si="6738">SXQ11*0.0425</f>
        <v>0</v>
      </c>
      <c r="SXS16" s="238">
        <f t="shared" ref="SXS16" si="6739">SXS11*0.0425</f>
        <v>0</v>
      </c>
      <c r="SXU16" s="238">
        <f t="shared" ref="SXU16" si="6740">SXU11*0.0425</f>
        <v>0</v>
      </c>
      <c r="SXW16" s="238">
        <f t="shared" ref="SXW16" si="6741">SXW11*0.0425</f>
        <v>0</v>
      </c>
      <c r="SXY16" s="238">
        <f t="shared" ref="SXY16" si="6742">SXY11*0.0425</f>
        <v>0</v>
      </c>
      <c r="SYA16" s="238">
        <f t="shared" ref="SYA16" si="6743">SYA11*0.0425</f>
        <v>0</v>
      </c>
      <c r="SYC16" s="238">
        <f t="shared" ref="SYC16" si="6744">SYC11*0.0425</f>
        <v>0</v>
      </c>
      <c r="SYE16" s="238">
        <f t="shared" ref="SYE16" si="6745">SYE11*0.0425</f>
        <v>0</v>
      </c>
      <c r="SYG16" s="238">
        <f t="shared" ref="SYG16" si="6746">SYG11*0.0425</f>
        <v>0</v>
      </c>
      <c r="SYI16" s="238">
        <f t="shared" ref="SYI16" si="6747">SYI11*0.0425</f>
        <v>0</v>
      </c>
      <c r="SYK16" s="238">
        <f t="shared" ref="SYK16" si="6748">SYK11*0.0425</f>
        <v>0</v>
      </c>
      <c r="SYM16" s="238">
        <f t="shared" ref="SYM16" si="6749">SYM11*0.0425</f>
        <v>0</v>
      </c>
      <c r="SYO16" s="238">
        <f t="shared" ref="SYO16" si="6750">SYO11*0.0425</f>
        <v>0</v>
      </c>
      <c r="SYQ16" s="238">
        <f t="shared" ref="SYQ16" si="6751">SYQ11*0.0425</f>
        <v>0</v>
      </c>
      <c r="SYS16" s="238">
        <f t="shared" ref="SYS16" si="6752">SYS11*0.0425</f>
        <v>0</v>
      </c>
      <c r="SYU16" s="238">
        <f t="shared" ref="SYU16" si="6753">SYU11*0.0425</f>
        <v>0</v>
      </c>
      <c r="SYW16" s="238">
        <f t="shared" ref="SYW16" si="6754">SYW11*0.0425</f>
        <v>0</v>
      </c>
      <c r="SYY16" s="238">
        <f t="shared" ref="SYY16" si="6755">SYY11*0.0425</f>
        <v>0</v>
      </c>
      <c r="SZA16" s="238">
        <f t="shared" ref="SZA16" si="6756">SZA11*0.0425</f>
        <v>0</v>
      </c>
      <c r="SZC16" s="238">
        <f t="shared" ref="SZC16" si="6757">SZC11*0.0425</f>
        <v>0</v>
      </c>
      <c r="SZE16" s="238">
        <f t="shared" ref="SZE16" si="6758">SZE11*0.0425</f>
        <v>0</v>
      </c>
      <c r="SZG16" s="238">
        <f t="shared" ref="SZG16" si="6759">SZG11*0.0425</f>
        <v>0</v>
      </c>
      <c r="SZI16" s="238">
        <f t="shared" ref="SZI16" si="6760">SZI11*0.0425</f>
        <v>0</v>
      </c>
      <c r="SZK16" s="238">
        <f t="shared" ref="SZK16" si="6761">SZK11*0.0425</f>
        <v>0</v>
      </c>
      <c r="SZM16" s="238">
        <f t="shared" ref="SZM16" si="6762">SZM11*0.0425</f>
        <v>0</v>
      </c>
      <c r="SZO16" s="238">
        <f t="shared" ref="SZO16" si="6763">SZO11*0.0425</f>
        <v>0</v>
      </c>
      <c r="SZQ16" s="238">
        <f t="shared" ref="SZQ16" si="6764">SZQ11*0.0425</f>
        <v>0</v>
      </c>
      <c r="SZS16" s="238">
        <f t="shared" ref="SZS16" si="6765">SZS11*0.0425</f>
        <v>0</v>
      </c>
      <c r="SZU16" s="238">
        <f t="shared" ref="SZU16" si="6766">SZU11*0.0425</f>
        <v>0</v>
      </c>
      <c r="SZW16" s="238">
        <f t="shared" ref="SZW16" si="6767">SZW11*0.0425</f>
        <v>0</v>
      </c>
      <c r="SZY16" s="238">
        <f t="shared" ref="SZY16" si="6768">SZY11*0.0425</f>
        <v>0</v>
      </c>
      <c r="TAA16" s="238">
        <f t="shared" ref="TAA16" si="6769">TAA11*0.0425</f>
        <v>0</v>
      </c>
      <c r="TAC16" s="238">
        <f t="shared" ref="TAC16" si="6770">TAC11*0.0425</f>
        <v>0</v>
      </c>
      <c r="TAE16" s="238">
        <f t="shared" ref="TAE16" si="6771">TAE11*0.0425</f>
        <v>0</v>
      </c>
      <c r="TAG16" s="238">
        <f t="shared" ref="TAG16" si="6772">TAG11*0.0425</f>
        <v>0</v>
      </c>
      <c r="TAI16" s="238">
        <f t="shared" ref="TAI16" si="6773">TAI11*0.0425</f>
        <v>0</v>
      </c>
      <c r="TAK16" s="238">
        <f t="shared" ref="TAK16" si="6774">TAK11*0.0425</f>
        <v>0</v>
      </c>
      <c r="TAM16" s="238">
        <f t="shared" ref="TAM16" si="6775">TAM11*0.0425</f>
        <v>0</v>
      </c>
      <c r="TAO16" s="238">
        <f t="shared" ref="TAO16" si="6776">TAO11*0.0425</f>
        <v>0</v>
      </c>
      <c r="TAQ16" s="238">
        <f t="shared" ref="TAQ16" si="6777">TAQ11*0.0425</f>
        <v>0</v>
      </c>
      <c r="TAS16" s="238">
        <f t="shared" ref="TAS16" si="6778">TAS11*0.0425</f>
        <v>0</v>
      </c>
      <c r="TAU16" s="238">
        <f t="shared" ref="TAU16" si="6779">TAU11*0.0425</f>
        <v>0</v>
      </c>
      <c r="TAW16" s="238">
        <f t="shared" ref="TAW16" si="6780">TAW11*0.0425</f>
        <v>0</v>
      </c>
      <c r="TAY16" s="238">
        <f t="shared" ref="TAY16" si="6781">TAY11*0.0425</f>
        <v>0</v>
      </c>
      <c r="TBA16" s="238">
        <f t="shared" ref="TBA16" si="6782">TBA11*0.0425</f>
        <v>0</v>
      </c>
      <c r="TBC16" s="238">
        <f t="shared" ref="TBC16" si="6783">TBC11*0.0425</f>
        <v>0</v>
      </c>
      <c r="TBE16" s="238">
        <f t="shared" ref="TBE16" si="6784">TBE11*0.0425</f>
        <v>0</v>
      </c>
      <c r="TBG16" s="238">
        <f t="shared" ref="TBG16" si="6785">TBG11*0.0425</f>
        <v>0</v>
      </c>
      <c r="TBI16" s="238">
        <f t="shared" ref="TBI16" si="6786">TBI11*0.0425</f>
        <v>0</v>
      </c>
      <c r="TBK16" s="238">
        <f t="shared" ref="TBK16" si="6787">TBK11*0.0425</f>
        <v>0</v>
      </c>
      <c r="TBM16" s="238">
        <f t="shared" ref="TBM16" si="6788">TBM11*0.0425</f>
        <v>0</v>
      </c>
      <c r="TBO16" s="238">
        <f t="shared" ref="TBO16" si="6789">TBO11*0.0425</f>
        <v>0</v>
      </c>
      <c r="TBQ16" s="238">
        <f t="shared" ref="TBQ16" si="6790">TBQ11*0.0425</f>
        <v>0</v>
      </c>
      <c r="TBS16" s="238">
        <f t="shared" ref="TBS16" si="6791">TBS11*0.0425</f>
        <v>0</v>
      </c>
      <c r="TBU16" s="238">
        <f t="shared" ref="TBU16" si="6792">TBU11*0.0425</f>
        <v>0</v>
      </c>
      <c r="TBW16" s="238">
        <f t="shared" ref="TBW16" si="6793">TBW11*0.0425</f>
        <v>0</v>
      </c>
      <c r="TBY16" s="238">
        <f t="shared" ref="TBY16" si="6794">TBY11*0.0425</f>
        <v>0</v>
      </c>
      <c r="TCA16" s="238">
        <f t="shared" ref="TCA16" si="6795">TCA11*0.0425</f>
        <v>0</v>
      </c>
      <c r="TCC16" s="238">
        <f t="shared" ref="TCC16" si="6796">TCC11*0.0425</f>
        <v>0</v>
      </c>
      <c r="TCE16" s="238">
        <f t="shared" ref="TCE16" si="6797">TCE11*0.0425</f>
        <v>0</v>
      </c>
      <c r="TCG16" s="238">
        <f t="shared" ref="TCG16" si="6798">TCG11*0.0425</f>
        <v>0</v>
      </c>
      <c r="TCI16" s="238">
        <f t="shared" ref="TCI16" si="6799">TCI11*0.0425</f>
        <v>0</v>
      </c>
      <c r="TCK16" s="238">
        <f t="shared" ref="TCK16" si="6800">TCK11*0.0425</f>
        <v>0</v>
      </c>
      <c r="TCM16" s="238">
        <f t="shared" ref="TCM16" si="6801">TCM11*0.0425</f>
        <v>0</v>
      </c>
      <c r="TCO16" s="238">
        <f t="shared" ref="TCO16" si="6802">TCO11*0.0425</f>
        <v>0</v>
      </c>
      <c r="TCQ16" s="238">
        <f t="shared" ref="TCQ16" si="6803">TCQ11*0.0425</f>
        <v>0</v>
      </c>
      <c r="TCS16" s="238">
        <f t="shared" ref="TCS16" si="6804">TCS11*0.0425</f>
        <v>0</v>
      </c>
      <c r="TCU16" s="238">
        <f t="shared" ref="TCU16" si="6805">TCU11*0.0425</f>
        <v>0</v>
      </c>
      <c r="TCW16" s="238">
        <f t="shared" ref="TCW16" si="6806">TCW11*0.0425</f>
        <v>0</v>
      </c>
      <c r="TCY16" s="238">
        <f t="shared" ref="TCY16" si="6807">TCY11*0.0425</f>
        <v>0</v>
      </c>
      <c r="TDA16" s="238">
        <f t="shared" ref="TDA16" si="6808">TDA11*0.0425</f>
        <v>0</v>
      </c>
      <c r="TDC16" s="238">
        <f t="shared" ref="TDC16" si="6809">TDC11*0.0425</f>
        <v>0</v>
      </c>
      <c r="TDE16" s="238">
        <f t="shared" ref="TDE16" si="6810">TDE11*0.0425</f>
        <v>0</v>
      </c>
      <c r="TDG16" s="238">
        <f t="shared" ref="TDG16" si="6811">TDG11*0.0425</f>
        <v>0</v>
      </c>
      <c r="TDI16" s="238">
        <f t="shared" ref="TDI16" si="6812">TDI11*0.0425</f>
        <v>0</v>
      </c>
      <c r="TDK16" s="238">
        <f t="shared" ref="TDK16" si="6813">TDK11*0.0425</f>
        <v>0</v>
      </c>
      <c r="TDM16" s="238">
        <f t="shared" ref="TDM16" si="6814">TDM11*0.0425</f>
        <v>0</v>
      </c>
      <c r="TDO16" s="238">
        <f t="shared" ref="TDO16" si="6815">TDO11*0.0425</f>
        <v>0</v>
      </c>
      <c r="TDQ16" s="238">
        <f t="shared" ref="TDQ16" si="6816">TDQ11*0.0425</f>
        <v>0</v>
      </c>
      <c r="TDS16" s="238">
        <f t="shared" ref="TDS16" si="6817">TDS11*0.0425</f>
        <v>0</v>
      </c>
      <c r="TDU16" s="238">
        <f t="shared" ref="TDU16" si="6818">TDU11*0.0425</f>
        <v>0</v>
      </c>
      <c r="TDW16" s="238">
        <f t="shared" ref="TDW16" si="6819">TDW11*0.0425</f>
        <v>0</v>
      </c>
      <c r="TDY16" s="238">
        <f t="shared" ref="TDY16" si="6820">TDY11*0.0425</f>
        <v>0</v>
      </c>
      <c r="TEA16" s="238">
        <f t="shared" ref="TEA16" si="6821">TEA11*0.0425</f>
        <v>0</v>
      </c>
      <c r="TEC16" s="238">
        <f t="shared" ref="TEC16" si="6822">TEC11*0.0425</f>
        <v>0</v>
      </c>
      <c r="TEE16" s="238">
        <f t="shared" ref="TEE16" si="6823">TEE11*0.0425</f>
        <v>0</v>
      </c>
      <c r="TEG16" s="238">
        <f t="shared" ref="TEG16" si="6824">TEG11*0.0425</f>
        <v>0</v>
      </c>
      <c r="TEI16" s="238">
        <f t="shared" ref="TEI16" si="6825">TEI11*0.0425</f>
        <v>0</v>
      </c>
      <c r="TEK16" s="238">
        <f t="shared" ref="TEK16" si="6826">TEK11*0.0425</f>
        <v>0</v>
      </c>
      <c r="TEM16" s="238">
        <f t="shared" ref="TEM16" si="6827">TEM11*0.0425</f>
        <v>0</v>
      </c>
      <c r="TEO16" s="238">
        <f t="shared" ref="TEO16" si="6828">TEO11*0.0425</f>
        <v>0</v>
      </c>
      <c r="TEQ16" s="238">
        <f t="shared" ref="TEQ16" si="6829">TEQ11*0.0425</f>
        <v>0</v>
      </c>
      <c r="TES16" s="238">
        <f t="shared" ref="TES16" si="6830">TES11*0.0425</f>
        <v>0</v>
      </c>
      <c r="TEU16" s="238">
        <f t="shared" ref="TEU16" si="6831">TEU11*0.0425</f>
        <v>0</v>
      </c>
      <c r="TEW16" s="238">
        <f t="shared" ref="TEW16" si="6832">TEW11*0.0425</f>
        <v>0</v>
      </c>
      <c r="TEY16" s="238">
        <f t="shared" ref="TEY16" si="6833">TEY11*0.0425</f>
        <v>0</v>
      </c>
      <c r="TFA16" s="238">
        <f t="shared" ref="TFA16" si="6834">TFA11*0.0425</f>
        <v>0</v>
      </c>
      <c r="TFC16" s="238">
        <f t="shared" ref="TFC16" si="6835">TFC11*0.0425</f>
        <v>0</v>
      </c>
      <c r="TFE16" s="238">
        <f t="shared" ref="TFE16" si="6836">TFE11*0.0425</f>
        <v>0</v>
      </c>
      <c r="TFG16" s="238">
        <f t="shared" ref="TFG16" si="6837">TFG11*0.0425</f>
        <v>0</v>
      </c>
      <c r="TFI16" s="238">
        <f t="shared" ref="TFI16" si="6838">TFI11*0.0425</f>
        <v>0</v>
      </c>
      <c r="TFK16" s="238">
        <f t="shared" ref="TFK16" si="6839">TFK11*0.0425</f>
        <v>0</v>
      </c>
      <c r="TFM16" s="238">
        <f t="shared" ref="TFM16" si="6840">TFM11*0.0425</f>
        <v>0</v>
      </c>
      <c r="TFO16" s="238">
        <f t="shared" ref="TFO16" si="6841">TFO11*0.0425</f>
        <v>0</v>
      </c>
      <c r="TFQ16" s="238">
        <f t="shared" ref="TFQ16" si="6842">TFQ11*0.0425</f>
        <v>0</v>
      </c>
      <c r="TFS16" s="238">
        <f t="shared" ref="TFS16" si="6843">TFS11*0.0425</f>
        <v>0</v>
      </c>
      <c r="TFU16" s="238">
        <f t="shared" ref="TFU16" si="6844">TFU11*0.0425</f>
        <v>0</v>
      </c>
      <c r="TFW16" s="238">
        <f t="shared" ref="TFW16" si="6845">TFW11*0.0425</f>
        <v>0</v>
      </c>
      <c r="TFY16" s="238">
        <f t="shared" ref="TFY16" si="6846">TFY11*0.0425</f>
        <v>0</v>
      </c>
      <c r="TGA16" s="238">
        <f t="shared" ref="TGA16" si="6847">TGA11*0.0425</f>
        <v>0</v>
      </c>
      <c r="TGC16" s="238">
        <f t="shared" ref="TGC16" si="6848">TGC11*0.0425</f>
        <v>0</v>
      </c>
      <c r="TGE16" s="238">
        <f t="shared" ref="TGE16" si="6849">TGE11*0.0425</f>
        <v>0</v>
      </c>
      <c r="TGG16" s="238">
        <f t="shared" ref="TGG16" si="6850">TGG11*0.0425</f>
        <v>0</v>
      </c>
      <c r="TGI16" s="238">
        <f t="shared" ref="TGI16" si="6851">TGI11*0.0425</f>
        <v>0</v>
      </c>
      <c r="TGK16" s="238">
        <f t="shared" ref="TGK16" si="6852">TGK11*0.0425</f>
        <v>0</v>
      </c>
      <c r="TGM16" s="238">
        <f t="shared" ref="TGM16" si="6853">TGM11*0.0425</f>
        <v>0</v>
      </c>
      <c r="TGO16" s="238">
        <f t="shared" ref="TGO16" si="6854">TGO11*0.0425</f>
        <v>0</v>
      </c>
      <c r="TGQ16" s="238">
        <f t="shared" ref="TGQ16" si="6855">TGQ11*0.0425</f>
        <v>0</v>
      </c>
      <c r="TGS16" s="238">
        <f t="shared" ref="TGS16" si="6856">TGS11*0.0425</f>
        <v>0</v>
      </c>
      <c r="TGU16" s="238">
        <f t="shared" ref="TGU16" si="6857">TGU11*0.0425</f>
        <v>0</v>
      </c>
      <c r="TGW16" s="238">
        <f t="shared" ref="TGW16" si="6858">TGW11*0.0425</f>
        <v>0</v>
      </c>
      <c r="TGY16" s="238">
        <f t="shared" ref="TGY16" si="6859">TGY11*0.0425</f>
        <v>0</v>
      </c>
      <c r="THA16" s="238">
        <f t="shared" ref="THA16" si="6860">THA11*0.0425</f>
        <v>0</v>
      </c>
      <c r="THC16" s="238">
        <f t="shared" ref="THC16" si="6861">THC11*0.0425</f>
        <v>0</v>
      </c>
      <c r="THE16" s="238">
        <f t="shared" ref="THE16" si="6862">THE11*0.0425</f>
        <v>0</v>
      </c>
      <c r="THG16" s="238">
        <f t="shared" ref="THG16" si="6863">THG11*0.0425</f>
        <v>0</v>
      </c>
      <c r="THI16" s="238">
        <f t="shared" ref="THI16" si="6864">THI11*0.0425</f>
        <v>0</v>
      </c>
      <c r="THK16" s="238">
        <f t="shared" ref="THK16" si="6865">THK11*0.0425</f>
        <v>0</v>
      </c>
      <c r="THM16" s="238">
        <f t="shared" ref="THM16" si="6866">THM11*0.0425</f>
        <v>0</v>
      </c>
      <c r="THO16" s="238">
        <f t="shared" ref="THO16" si="6867">THO11*0.0425</f>
        <v>0</v>
      </c>
      <c r="THQ16" s="238">
        <f t="shared" ref="THQ16" si="6868">THQ11*0.0425</f>
        <v>0</v>
      </c>
      <c r="THS16" s="238">
        <f t="shared" ref="THS16" si="6869">THS11*0.0425</f>
        <v>0</v>
      </c>
      <c r="THU16" s="238">
        <f t="shared" ref="THU16" si="6870">THU11*0.0425</f>
        <v>0</v>
      </c>
      <c r="THW16" s="238">
        <f t="shared" ref="THW16" si="6871">THW11*0.0425</f>
        <v>0</v>
      </c>
      <c r="THY16" s="238">
        <f t="shared" ref="THY16" si="6872">THY11*0.0425</f>
        <v>0</v>
      </c>
      <c r="TIA16" s="238">
        <f t="shared" ref="TIA16" si="6873">TIA11*0.0425</f>
        <v>0</v>
      </c>
      <c r="TIC16" s="238">
        <f t="shared" ref="TIC16" si="6874">TIC11*0.0425</f>
        <v>0</v>
      </c>
      <c r="TIE16" s="238">
        <f t="shared" ref="TIE16" si="6875">TIE11*0.0425</f>
        <v>0</v>
      </c>
      <c r="TIG16" s="238">
        <f t="shared" ref="TIG16" si="6876">TIG11*0.0425</f>
        <v>0</v>
      </c>
      <c r="TII16" s="238">
        <f t="shared" ref="TII16" si="6877">TII11*0.0425</f>
        <v>0</v>
      </c>
      <c r="TIK16" s="238">
        <f t="shared" ref="TIK16" si="6878">TIK11*0.0425</f>
        <v>0</v>
      </c>
      <c r="TIM16" s="238">
        <f t="shared" ref="TIM16" si="6879">TIM11*0.0425</f>
        <v>0</v>
      </c>
      <c r="TIO16" s="238">
        <f t="shared" ref="TIO16" si="6880">TIO11*0.0425</f>
        <v>0</v>
      </c>
      <c r="TIQ16" s="238">
        <f t="shared" ref="TIQ16" si="6881">TIQ11*0.0425</f>
        <v>0</v>
      </c>
      <c r="TIS16" s="238">
        <f t="shared" ref="TIS16" si="6882">TIS11*0.0425</f>
        <v>0</v>
      </c>
      <c r="TIU16" s="238">
        <f t="shared" ref="TIU16" si="6883">TIU11*0.0425</f>
        <v>0</v>
      </c>
      <c r="TIW16" s="238">
        <f t="shared" ref="TIW16" si="6884">TIW11*0.0425</f>
        <v>0</v>
      </c>
      <c r="TIY16" s="238">
        <f t="shared" ref="TIY16" si="6885">TIY11*0.0425</f>
        <v>0</v>
      </c>
      <c r="TJA16" s="238">
        <f t="shared" ref="TJA16" si="6886">TJA11*0.0425</f>
        <v>0</v>
      </c>
      <c r="TJC16" s="238">
        <f t="shared" ref="TJC16" si="6887">TJC11*0.0425</f>
        <v>0</v>
      </c>
      <c r="TJE16" s="238">
        <f t="shared" ref="TJE16" si="6888">TJE11*0.0425</f>
        <v>0</v>
      </c>
      <c r="TJG16" s="238">
        <f t="shared" ref="TJG16" si="6889">TJG11*0.0425</f>
        <v>0</v>
      </c>
      <c r="TJI16" s="238">
        <f t="shared" ref="TJI16" si="6890">TJI11*0.0425</f>
        <v>0</v>
      </c>
      <c r="TJK16" s="238">
        <f t="shared" ref="TJK16" si="6891">TJK11*0.0425</f>
        <v>0</v>
      </c>
      <c r="TJM16" s="238">
        <f t="shared" ref="TJM16" si="6892">TJM11*0.0425</f>
        <v>0</v>
      </c>
      <c r="TJO16" s="238">
        <f t="shared" ref="TJO16" si="6893">TJO11*0.0425</f>
        <v>0</v>
      </c>
      <c r="TJQ16" s="238">
        <f t="shared" ref="TJQ16" si="6894">TJQ11*0.0425</f>
        <v>0</v>
      </c>
      <c r="TJS16" s="238">
        <f t="shared" ref="TJS16" si="6895">TJS11*0.0425</f>
        <v>0</v>
      </c>
      <c r="TJU16" s="238">
        <f t="shared" ref="TJU16" si="6896">TJU11*0.0425</f>
        <v>0</v>
      </c>
      <c r="TJW16" s="238">
        <f t="shared" ref="TJW16" si="6897">TJW11*0.0425</f>
        <v>0</v>
      </c>
      <c r="TJY16" s="238">
        <f t="shared" ref="TJY16" si="6898">TJY11*0.0425</f>
        <v>0</v>
      </c>
      <c r="TKA16" s="238">
        <f t="shared" ref="TKA16" si="6899">TKA11*0.0425</f>
        <v>0</v>
      </c>
      <c r="TKC16" s="238">
        <f t="shared" ref="TKC16" si="6900">TKC11*0.0425</f>
        <v>0</v>
      </c>
      <c r="TKE16" s="238">
        <f t="shared" ref="TKE16" si="6901">TKE11*0.0425</f>
        <v>0</v>
      </c>
      <c r="TKG16" s="238">
        <f t="shared" ref="TKG16" si="6902">TKG11*0.0425</f>
        <v>0</v>
      </c>
      <c r="TKI16" s="238">
        <f t="shared" ref="TKI16" si="6903">TKI11*0.0425</f>
        <v>0</v>
      </c>
      <c r="TKK16" s="238">
        <f t="shared" ref="TKK16" si="6904">TKK11*0.0425</f>
        <v>0</v>
      </c>
      <c r="TKM16" s="238">
        <f t="shared" ref="TKM16" si="6905">TKM11*0.0425</f>
        <v>0</v>
      </c>
      <c r="TKO16" s="238">
        <f t="shared" ref="TKO16" si="6906">TKO11*0.0425</f>
        <v>0</v>
      </c>
      <c r="TKQ16" s="238">
        <f t="shared" ref="TKQ16" si="6907">TKQ11*0.0425</f>
        <v>0</v>
      </c>
      <c r="TKS16" s="238">
        <f t="shared" ref="TKS16" si="6908">TKS11*0.0425</f>
        <v>0</v>
      </c>
      <c r="TKU16" s="238">
        <f t="shared" ref="TKU16" si="6909">TKU11*0.0425</f>
        <v>0</v>
      </c>
      <c r="TKW16" s="238">
        <f t="shared" ref="TKW16" si="6910">TKW11*0.0425</f>
        <v>0</v>
      </c>
      <c r="TKY16" s="238">
        <f t="shared" ref="TKY16" si="6911">TKY11*0.0425</f>
        <v>0</v>
      </c>
      <c r="TLA16" s="238">
        <f t="shared" ref="TLA16" si="6912">TLA11*0.0425</f>
        <v>0</v>
      </c>
      <c r="TLC16" s="238">
        <f t="shared" ref="TLC16" si="6913">TLC11*0.0425</f>
        <v>0</v>
      </c>
      <c r="TLE16" s="238">
        <f t="shared" ref="TLE16" si="6914">TLE11*0.0425</f>
        <v>0</v>
      </c>
      <c r="TLG16" s="238">
        <f t="shared" ref="TLG16" si="6915">TLG11*0.0425</f>
        <v>0</v>
      </c>
      <c r="TLI16" s="238">
        <f t="shared" ref="TLI16" si="6916">TLI11*0.0425</f>
        <v>0</v>
      </c>
      <c r="TLK16" s="238">
        <f t="shared" ref="TLK16" si="6917">TLK11*0.0425</f>
        <v>0</v>
      </c>
      <c r="TLM16" s="238">
        <f t="shared" ref="TLM16" si="6918">TLM11*0.0425</f>
        <v>0</v>
      </c>
      <c r="TLO16" s="238">
        <f t="shared" ref="TLO16" si="6919">TLO11*0.0425</f>
        <v>0</v>
      </c>
      <c r="TLQ16" s="238">
        <f t="shared" ref="TLQ16" si="6920">TLQ11*0.0425</f>
        <v>0</v>
      </c>
      <c r="TLS16" s="238">
        <f t="shared" ref="TLS16" si="6921">TLS11*0.0425</f>
        <v>0</v>
      </c>
      <c r="TLU16" s="238">
        <f t="shared" ref="TLU16" si="6922">TLU11*0.0425</f>
        <v>0</v>
      </c>
      <c r="TLW16" s="238">
        <f t="shared" ref="TLW16" si="6923">TLW11*0.0425</f>
        <v>0</v>
      </c>
      <c r="TLY16" s="238">
        <f t="shared" ref="TLY16" si="6924">TLY11*0.0425</f>
        <v>0</v>
      </c>
      <c r="TMA16" s="238">
        <f t="shared" ref="TMA16" si="6925">TMA11*0.0425</f>
        <v>0</v>
      </c>
      <c r="TMC16" s="238">
        <f t="shared" ref="TMC16" si="6926">TMC11*0.0425</f>
        <v>0</v>
      </c>
      <c r="TME16" s="238">
        <f t="shared" ref="TME16" si="6927">TME11*0.0425</f>
        <v>0</v>
      </c>
      <c r="TMG16" s="238">
        <f t="shared" ref="TMG16" si="6928">TMG11*0.0425</f>
        <v>0</v>
      </c>
      <c r="TMI16" s="238">
        <f t="shared" ref="TMI16" si="6929">TMI11*0.0425</f>
        <v>0</v>
      </c>
      <c r="TMK16" s="238">
        <f t="shared" ref="TMK16" si="6930">TMK11*0.0425</f>
        <v>0</v>
      </c>
      <c r="TMM16" s="238">
        <f t="shared" ref="TMM16" si="6931">TMM11*0.0425</f>
        <v>0</v>
      </c>
      <c r="TMO16" s="238">
        <f t="shared" ref="TMO16" si="6932">TMO11*0.0425</f>
        <v>0</v>
      </c>
      <c r="TMQ16" s="238">
        <f t="shared" ref="TMQ16" si="6933">TMQ11*0.0425</f>
        <v>0</v>
      </c>
      <c r="TMS16" s="238">
        <f t="shared" ref="TMS16" si="6934">TMS11*0.0425</f>
        <v>0</v>
      </c>
      <c r="TMU16" s="238">
        <f t="shared" ref="TMU16" si="6935">TMU11*0.0425</f>
        <v>0</v>
      </c>
      <c r="TMW16" s="238">
        <f t="shared" ref="TMW16" si="6936">TMW11*0.0425</f>
        <v>0</v>
      </c>
      <c r="TMY16" s="238">
        <f t="shared" ref="TMY16" si="6937">TMY11*0.0425</f>
        <v>0</v>
      </c>
      <c r="TNA16" s="238">
        <f t="shared" ref="TNA16" si="6938">TNA11*0.0425</f>
        <v>0</v>
      </c>
      <c r="TNC16" s="238">
        <f t="shared" ref="TNC16" si="6939">TNC11*0.0425</f>
        <v>0</v>
      </c>
      <c r="TNE16" s="238">
        <f t="shared" ref="TNE16" si="6940">TNE11*0.0425</f>
        <v>0</v>
      </c>
      <c r="TNG16" s="238">
        <f t="shared" ref="TNG16" si="6941">TNG11*0.0425</f>
        <v>0</v>
      </c>
      <c r="TNI16" s="238">
        <f t="shared" ref="TNI16" si="6942">TNI11*0.0425</f>
        <v>0</v>
      </c>
      <c r="TNK16" s="238">
        <f t="shared" ref="TNK16" si="6943">TNK11*0.0425</f>
        <v>0</v>
      </c>
      <c r="TNM16" s="238">
        <f t="shared" ref="TNM16" si="6944">TNM11*0.0425</f>
        <v>0</v>
      </c>
      <c r="TNO16" s="238">
        <f t="shared" ref="TNO16" si="6945">TNO11*0.0425</f>
        <v>0</v>
      </c>
      <c r="TNQ16" s="238">
        <f t="shared" ref="TNQ16" si="6946">TNQ11*0.0425</f>
        <v>0</v>
      </c>
      <c r="TNS16" s="238">
        <f t="shared" ref="TNS16" si="6947">TNS11*0.0425</f>
        <v>0</v>
      </c>
      <c r="TNU16" s="238">
        <f t="shared" ref="TNU16" si="6948">TNU11*0.0425</f>
        <v>0</v>
      </c>
      <c r="TNW16" s="238">
        <f t="shared" ref="TNW16" si="6949">TNW11*0.0425</f>
        <v>0</v>
      </c>
      <c r="TNY16" s="238">
        <f t="shared" ref="TNY16" si="6950">TNY11*0.0425</f>
        <v>0</v>
      </c>
      <c r="TOA16" s="238">
        <f t="shared" ref="TOA16" si="6951">TOA11*0.0425</f>
        <v>0</v>
      </c>
      <c r="TOC16" s="238">
        <f t="shared" ref="TOC16" si="6952">TOC11*0.0425</f>
        <v>0</v>
      </c>
      <c r="TOE16" s="238">
        <f t="shared" ref="TOE16" si="6953">TOE11*0.0425</f>
        <v>0</v>
      </c>
      <c r="TOG16" s="238">
        <f t="shared" ref="TOG16" si="6954">TOG11*0.0425</f>
        <v>0</v>
      </c>
      <c r="TOI16" s="238">
        <f t="shared" ref="TOI16" si="6955">TOI11*0.0425</f>
        <v>0</v>
      </c>
      <c r="TOK16" s="238">
        <f t="shared" ref="TOK16" si="6956">TOK11*0.0425</f>
        <v>0</v>
      </c>
      <c r="TOM16" s="238">
        <f t="shared" ref="TOM16" si="6957">TOM11*0.0425</f>
        <v>0</v>
      </c>
      <c r="TOO16" s="238">
        <f t="shared" ref="TOO16" si="6958">TOO11*0.0425</f>
        <v>0</v>
      </c>
      <c r="TOQ16" s="238">
        <f t="shared" ref="TOQ16" si="6959">TOQ11*0.0425</f>
        <v>0</v>
      </c>
      <c r="TOS16" s="238">
        <f t="shared" ref="TOS16" si="6960">TOS11*0.0425</f>
        <v>0</v>
      </c>
      <c r="TOU16" s="238">
        <f t="shared" ref="TOU16" si="6961">TOU11*0.0425</f>
        <v>0</v>
      </c>
      <c r="TOW16" s="238">
        <f t="shared" ref="TOW16" si="6962">TOW11*0.0425</f>
        <v>0</v>
      </c>
      <c r="TOY16" s="238">
        <f t="shared" ref="TOY16" si="6963">TOY11*0.0425</f>
        <v>0</v>
      </c>
      <c r="TPA16" s="238">
        <f t="shared" ref="TPA16" si="6964">TPA11*0.0425</f>
        <v>0</v>
      </c>
      <c r="TPC16" s="238">
        <f t="shared" ref="TPC16" si="6965">TPC11*0.0425</f>
        <v>0</v>
      </c>
      <c r="TPE16" s="238">
        <f t="shared" ref="TPE16" si="6966">TPE11*0.0425</f>
        <v>0</v>
      </c>
      <c r="TPG16" s="238">
        <f t="shared" ref="TPG16" si="6967">TPG11*0.0425</f>
        <v>0</v>
      </c>
      <c r="TPI16" s="238">
        <f t="shared" ref="TPI16" si="6968">TPI11*0.0425</f>
        <v>0</v>
      </c>
      <c r="TPK16" s="238">
        <f t="shared" ref="TPK16" si="6969">TPK11*0.0425</f>
        <v>0</v>
      </c>
      <c r="TPM16" s="238">
        <f t="shared" ref="TPM16" si="6970">TPM11*0.0425</f>
        <v>0</v>
      </c>
      <c r="TPO16" s="238">
        <f t="shared" ref="TPO16" si="6971">TPO11*0.0425</f>
        <v>0</v>
      </c>
      <c r="TPQ16" s="238">
        <f t="shared" ref="TPQ16" si="6972">TPQ11*0.0425</f>
        <v>0</v>
      </c>
      <c r="TPS16" s="238">
        <f t="shared" ref="TPS16" si="6973">TPS11*0.0425</f>
        <v>0</v>
      </c>
      <c r="TPU16" s="238">
        <f t="shared" ref="TPU16" si="6974">TPU11*0.0425</f>
        <v>0</v>
      </c>
      <c r="TPW16" s="238">
        <f t="shared" ref="TPW16" si="6975">TPW11*0.0425</f>
        <v>0</v>
      </c>
      <c r="TPY16" s="238">
        <f t="shared" ref="TPY16" si="6976">TPY11*0.0425</f>
        <v>0</v>
      </c>
      <c r="TQA16" s="238">
        <f t="shared" ref="TQA16" si="6977">TQA11*0.0425</f>
        <v>0</v>
      </c>
      <c r="TQC16" s="238">
        <f t="shared" ref="TQC16" si="6978">TQC11*0.0425</f>
        <v>0</v>
      </c>
      <c r="TQE16" s="238">
        <f t="shared" ref="TQE16" si="6979">TQE11*0.0425</f>
        <v>0</v>
      </c>
      <c r="TQG16" s="238">
        <f t="shared" ref="TQG16" si="6980">TQG11*0.0425</f>
        <v>0</v>
      </c>
      <c r="TQI16" s="238">
        <f t="shared" ref="TQI16" si="6981">TQI11*0.0425</f>
        <v>0</v>
      </c>
      <c r="TQK16" s="238">
        <f t="shared" ref="TQK16" si="6982">TQK11*0.0425</f>
        <v>0</v>
      </c>
      <c r="TQM16" s="238">
        <f t="shared" ref="TQM16" si="6983">TQM11*0.0425</f>
        <v>0</v>
      </c>
      <c r="TQO16" s="238">
        <f t="shared" ref="TQO16" si="6984">TQO11*0.0425</f>
        <v>0</v>
      </c>
      <c r="TQQ16" s="238">
        <f t="shared" ref="TQQ16" si="6985">TQQ11*0.0425</f>
        <v>0</v>
      </c>
      <c r="TQS16" s="238">
        <f t="shared" ref="TQS16" si="6986">TQS11*0.0425</f>
        <v>0</v>
      </c>
      <c r="TQU16" s="238">
        <f t="shared" ref="TQU16" si="6987">TQU11*0.0425</f>
        <v>0</v>
      </c>
      <c r="TQW16" s="238">
        <f t="shared" ref="TQW16" si="6988">TQW11*0.0425</f>
        <v>0</v>
      </c>
      <c r="TQY16" s="238">
        <f t="shared" ref="TQY16" si="6989">TQY11*0.0425</f>
        <v>0</v>
      </c>
      <c r="TRA16" s="238">
        <f t="shared" ref="TRA16" si="6990">TRA11*0.0425</f>
        <v>0</v>
      </c>
      <c r="TRC16" s="238">
        <f t="shared" ref="TRC16" si="6991">TRC11*0.0425</f>
        <v>0</v>
      </c>
      <c r="TRE16" s="238">
        <f t="shared" ref="TRE16" si="6992">TRE11*0.0425</f>
        <v>0</v>
      </c>
      <c r="TRG16" s="238">
        <f t="shared" ref="TRG16" si="6993">TRG11*0.0425</f>
        <v>0</v>
      </c>
      <c r="TRI16" s="238">
        <f t="shared" ref="TRI16" si="6994">TRI11*0.0425</f>
        <v>0</v>
      </c>
      <c r="TRK16" s="238">
        <f t="shared" ref="TRK16" si="6995">TRK11*0.0425</f>
        <v>0</v>
      </c>
      <c r="TRM16" s="238">
        <f t="shared" ref="TRM16" si="6996">TRM11*0.0425</f>
        <v>0</v>
      </c>
      <c r="TRO16" s="238">
        <f t="shared" ref="TRO16" si="6997">TRO11*0.0425</f>
        <v>0</v>
      </c>
      <c r="TRQ16" s="238">
        <f t="shared" ref="TRQ16" si="6998">TRQ11*0.0425</f>
        <v>0</v>
      </c>
      <c r="TRS16" s="238">
        <f t="shared" ref="TRS16" si="6999">TRS11*0.0425</f>
        <v>0</v>
      </c>
      <c r="TRU16" s="238">
        <f t="shared" ref="TRU16" si="7000">TRU11*0.0425</f>
        <v>0</v>
      </c>
      <c r="TRW16" s="238">
        <f t="shared" ref="TRW16" si="7001">TRW11*0.0425</f>
        <v>0</v>
      </c>
      <c r="TRY16" s="238">
        <f t="shared" ref="TRY16" si="7002">TRY11*0.0425</f>
        <v>0</v>
      </c>
      <c r="TSA16" s="238">
        <f t="shared" ref="TSA16" si="7003">TSA11*0.0425</f>
        <v>0</v>
      </c>
      <c r="TSC16" s="238">
        <f t="shared" ref="TSC16" si="7004">TSC11*0.0425</f>
        <v>0</v>
      </c>
      <c r="TSE16" s="238">
        <f t="shared" ref="TSE16" si="7005">TSE11*0.0425</f>
        <v>0</v>
      </c>
      <c r="TSG16" s="238">
        <f t="shared" ref="TSG16" si="7006">TSG11*0.0425</f>
        <v>0</v>
      </c>
      <c r="TSI16" s="238">
        <f t="shared" ref="TSI16" si="7007">TSI11*0.0425</f>
        <v>0</v>
      </c>
      <c r="TSK16" s="238">
        <f t="shared" ref="TSK16" si="7008">TSK11*0.0425</f>
        <v>0</v>
      </c>
      <c r="TSM16" s="238">
        <f t="shared" ref="TSM16" si="7009">TSM11*0.0425</f>
        <v>0</v>
      </c>
      <c r="TSO16" s="238">
        <f t="shared" ref="TSO16" si="7010">TSO11*0.0425</f>
        <v>0</v>
      </c>
      <c r="TSQ16" s="238">
        <f t="shared" ref="TSQ16" si="7011">TSQ11*0.0425</f>
        <v>0</v>
      </c>
      <c r="TSS16" s="238">
        <f t="shared" ref="TSS16" si="7012">TSS11*0.0425</f>
        <v>0</v>
      </c>
      <c r="TSU16" s="238">
        <f t="shared" ref="TSU16" si="7013">TSU11*0.0425</f>
        <v>0</v>
      </c>
      <c r="TSW16" s="238">
        <f t="shared" ref="TSW16" si="7014">TSW11*0.0425</f>
        <v>0</v>
      </c>
      <c r="TSY16" s="238">
        <f t="shared" ref="TSY16" si="7015">TSY11*0.0425</f>
        <v>0</v>
      </c>
      <c r="TTA16" s="238">
        <f t="shared" ref="TTA16" si="7016">TTA11*0.0425</f>
        <v>0</v>
      </c>
      <c r="TTC16" s="238">
        <f t="shared" ref="TTC16" si="7017">TTC11*0.0425</f>
        <v>0</v>
      </c>
      <c r="TTE16" s="238">
        <f t="shared" ref="TTE16" si="7018">TTE11*0.0425</f>
        <v>0</v>
      </c>
      <c r="TTG16" s="238">
        <f t="shared" ref="TTG16" si="7019">TTG11*0.0425</f>
        <v>0</v>
      </c>
      <c r="TTI16" s="238">
        <f t="shared" ref="TTI16" si="7020">TTI11*0.0425</f>
        <v>0</v>
      </c>
      <c r="TTK16" s="238">
        <f t="shared" ref="TTK16" si="7021">TTK11*0.0425</f>
        <v>0</v>
      </c>
      <c r="TTM16" s="238">
        <f t="shared" ref="TTM16" si="7022">TTM11*0.0425</f>
        <v>0</v>
      </c>
      <c r="TTO16" s="238">
        <f t="shared" ref="TTO16" si="7023">TTO11*0.0425</f>
        <v>0</v>
      </c>
      <c r="TTQ16" s="238">
        <f t="shared" ref="TTQ16" si="7024">TTQ11*0.0425</f>
        <v>0</v>
      </c>
      <c r="TTS16" s="238">
        <f t="shared" ref="TTS16" si="7025">TTS11*0.0425</f>
        <v>0</v>
      </c>
      <c r="TTU16" s="238">
        <f t="shared" ref="TTU16" si="7026">TTU11*0.0425</f>
        <v>0</v>
      </c>
      <c r="TTW16" s="238">
        <f t="shared" ref="TTW16" si="7027">TTW11*0.0425</f>
        <v>0</v>
      </c>
      <c r="TTY16" s="238">
        <f t="shared" ref="TTY16" si="7028">TTY11*0.0425</f>
        <v>0</v>
      </c>
      <c r="TUA16" s="238">
        <f t="shared" ref="TUA16" si="7029">TUA11*0.0425</f>
        <v>0</v>
      </c>
      <c r="TUC16" s="238">
        <f t="shared" ref="TUC16" si="7030">TUC11*0.0425</f>
        <v>0</v>
      </c>
      <c r="TUE16" s="238">
        <f t="shared" ref="TUE16" si="7031">TUE11*0.0425</f>
        <v>0</v>
      </c>
      <c r="TUG16" s="238">
        <f t="shared" ref="TUG16" si="7032">TUG11*0.0425</f>
        <v>0</v>
      </c>
      <c r="TUI16" s="238">
        <f t="shared" ref="TUI16" si="7033">TUI11*0.0425</f>
        <v>0</v>
      </c>
      <c r="TUK16" s="238">
        <f t="shared" ref="TUK16" si="7034">TUK11*0.0425</f>
        <v>0</v>
      </c>
      <c r="TUM16" s="238">
        <f t="shared" ref="TUM16" si="7035">TUM11*0.0425</f>
        <v>0</v>
      </c>
      <c r="TUO16" s="238">
        <f t="shared" ref="TUO16" si="7036">TUO11*0.0425</f>
        <v>0</v>
      </c>
      <c r="TUQ16" s="238">
        <f t="shared" ref="TUQ16" si="7037">TUQ11*0.0425</f>
        <v>0</v>
      </c>
      <c r="TUS16" s="238">
        <f t="shared" ref="TUS16" si="7038">TUS11*0.0425</f>
        <v>0</v>
      </c>
      <c r="TUU16" s="238">
        <f t="shared" ref="TUU16" si="7039">TUU11*0.0425</f>
        <v>0</v>
      </c>
      <c r="TUW16" s="238">
        <f t="shared" ref="TUW16" si="7040">TUW11*0.0425</f>
        <v>0</v>
      </c>
      <c r="TUY16" s="238">
        <f t="shared" ref="TUY16" si="7041">TUY11*0.0425</f>
        <v>0</v>
      </c>
      <c r="TVA16" s="238">
        <f t="shared" ref="TVA16" si="7042">TVA11*0.0425</f>
        <v>0</v>
      </c>
      <c r="TVC16" s="238">
        <f t="shared" ref="TVC16" si="7043">TVC11*0.0425</f>
        <v>0</v>
      </c>
      <c r="TVE16" s="238">
        <f t="shared" ref="TVE16" si="7044">TVE11*0.0425</f>
        <v>0</v>
      </c>
      <c r="TVG16" s="238">
        <f t="shared" ref="TVG16" si="7045">TVG11*0.0425</f>
        <v>0</v>
      </c>
      <c r="TVI16" s="238">
        <f t="shared" ref="TVI16" si="7046">TVI11*0.0425</f>
        <v>0</v>
      </c>
      <c r="TVK16" s="238">
        <f t="shared" ref="TVK16" si="7047">TVK11*0.0425</f>
        <v>0</v>
      </c>
      <c r="TVM16" s="238">
        <f t="shared" ref="TVM16" si="7048">TVM11*0.0425</f>
        <v>0</v>
      </c>
      <c r="TVO16" s="238">
        <f t="shared" ref="TVO16" si="7049">TVO11*0.0425</f>
        <v>0</v>
      </c>
      <c r="TVQ16" s="238">
        <f t="shared" ref="TVQ16" si="7050">TVQ11*0.0425</f>
        <v>0</v>
      </c>
      <c r="TVS16" s="238">
        <f t="shared" ref="TVS16" si="7051">TVS11*0.0425</f>
        <v>0</v>
      </c>
      <c r="TVU16" s="238">
        <f t="shared" ref="TVU16" si="7052">TVU11*0.0425</f>
        <v>0</v>
      </c>
      <c r="TVW16" s="238">
        <f t="shared" ref="TVW16" si="7053">TVW11*0.0425</f>
        <v>0</v>
      </c>
      <c r="TVY16" s="238">
        <f t="shared" ref="TVY16" si="7054">TVY11*0.0425</f>
        <v>0</v>
      </c>
      <c r="TWA16" s="238">
        <f t="shared" ref="TWA16" si="7055">TWA11*0.0425</f>
        <v>0</v>
      </c>
      <c r="TWC16" s="238">
        <f t="shared" ref="TWC16" si="7056">TWC11*0.0425</f>
        <v>0</v>
      </c>
      <c r="TWE16" s="238">
        <f t="shared" ref="TWE16" si="7057">TWE11*0.0425</f>
        <v>0</v>
      </c>
      <c r="TWG16" s="238">
        <f t="shared" ref="TWG16" si="7058">TWG11*0.0425</f>
        <v>0</v>
      </c>
      <c r="TWI16" s="238">
        <f t="shared" ref="TWI16" si="7059">TWI11*0.0425</f>
        <v>0</v>
      </c>
      <c r="TWK16" s="238">
        <f t="shared" ref="TWK16" si="7060">TWK11*0.0425</f>
        <v>0</v>
      </c>
      <c r="TWM16" s="238">
        <f t="shared" ref="TWM16" si="7061">TWM11*0.0425</f>
        <v>0</v>
      </c>
      <c r="TWO16" s="238">
        <f t="shared" ref="TWO16" si="7062">TWO11*0.0425</f>
        <v>0</v>
      </c>
      <c r="TWQ16" s="238">
        <f t="shared" ref="TWQ16" si="7063">TWQ11*0.0425</f>
        <v>0</v>
      </c>
      <c r="TWS16" s="238">
        <f t="shared" ref="TWS16" si="7064">TWS11*0.0425</f>
        <v>0</v>
      </c>
      <c r="TWU16" s="238">
        <f t="shared" ref="TWU16" si="7065">TWU11*0.0425</f>
        <v>0</v>
      </c>
      <c r="TWW16" s="238">
        <f t="shared" ref="TWW16" si="7066">TWW11*0.0425</f>
        <v>0</v>
      </c>
      <c r="TWY16" s="238">
        <f t="shared" ref="TWY16" si="7067">TWY11*0.0425</f>
        <v>0</v>
      </c>
      <c r="TXA16" s="238">
        <f t="shared" ref="TXA16" si="7068">TXA11*0.0425</f>
        <v>0</v>
      </c>
      <c r="TXC16" s="238">
        <f t="shared" ref="TXC16" si="7069">TXC11*0.0425</f>
        <v>0</v>
      </c>
      <c r="TXE16" s="238">
        <f t="shared" ref="TXE16" si="7070">TXE11*0.0425</f>
        <v>0</v>
      </c>
      <c r="TXG16" s="238">
        <f t="shared" ref="TXG16" si="7071">TXG11*0.0425</f>
        <v>0</v>
      </c>
      <c r="TXI16" s="238">
        <f t="shared" ref="TXI16" si="7072">TXI11*0.0425</f>
        <v>0</v>
      </c>
      <c r="TXK16" s="238">
        <f t="shared" ref="TXK16" si="7073">TXK11*0.0425</f>
        <v>0</v>
      </c>
      <c r="TXM16" s="238">
        <f t="shared" ref="TXM16" si="7074">TXM11*0.0425</f>
        <v>0</v>
      </c>
      <c r="TXO16" s="238">
        <f t="shared" ref="TXO16" si="7075">TXO11*0.0425</f>
        <v>0</v>
      </c>
      <c r="TXQ16" s="238">
        <f t="shared" ref="TXQ16" si="7076">TXQ11*0.0425</f>
        <v>0</v>
      </c>
      <c r="TXS16" s="238">
        <f t="shared" ref="TXS16" si="7077">TXS11*0.0425</f>
        <v>0</v>
      </c>
      <c r="TXU16" s="238">
        <f t="shared" ref="TXU16" si="7078">TXU11*0.0425</f>
        <v>0</v>
      </c>
      <c r="TXW16" s="238">
        <f t="shared" ref="TXW16" si="7079">TXW11*0.0425</f>
        <v>0</v>
      </c>
      <c r="TXY16" s="238">
        <f t="shared" ref="TXY16" si="7080">TXY11*0.0425</f>
        <v>0</v>
      </c>
      <c r="TYA16" s="238">
        <f t="shared" ref="TYA16" si="7081">TYA11*0.0425</f>
        <v>0</v>
      </c>
      <c r="TYC16" s="238">
        <f t="shared" ref="TYC16" si="7082">TYC11*0.0425</f>
        <v>0</v>
      </c>
      <c r="TYE16" s="238">
        <f t="shared" ref="TYE16" si="7083">TYE11*0.0425</f>
        <v>0</v>
      </c>
      <c r="TYG16" s="238">
        <f t="shared" ref="TYG16" si="7084">TYG11*0.0425</f>
        <v>0</v>
      </c>
      <c r="TYI16" s="238">
        <f t="shared" ref="TYI16" si="7085">TYI11*0.0425</f>
        <v>0</v>
      </c>
      <c r="TYK16" s="238">
        <f t="shared" ref="TYK16" si="7086">TYK11*0.0425</f>
        <v>0</v>
      </c>
      <c r="TYM16" s="238">
        <f t="shared" ref="TYM16" si="7087">TYM11*0.0425</f>
        <v>0</v>
      </c>
      <c r="TYO16" s="238">
        <f t="shared" ref="TYO16" si="7088">TYO11*0.0425</f>
        <v>0</v>
      </c>
      <c r="TYQ16" s="238">
        <f t="shared" ref="TYQ16" si="7089">TYQ11*0.0425</f>
        <v>0</v>
      </c>
      <c r="TYS16" s="238">
        <f t="shared" ref="TYS16" si="7090">TYS11*0.0425</f>
        <v>0</v>
      </c>
      <c r="TYU16" s="238">
        <f t="shared" ref="TYU16" si="7091">TYU11*0.0425</f>
        <v>0</v>
      </c>
      <c r="TYW16" s="238">
        <f t="shared" ref="TYW16" si="7092">TYW11*0.0425</f>
        <v>0</v>
      </c>
      <c r="TYY16" s="238">
        <f t="shared" ref="TYY16" si="7093">TYY11*0.0425</f>
        <v>0</v>
      </c>
      <c r="TZA16" s="238">
        <f t="shared" ref="TZA16" si="7094">TZA11*0.0425</f>
        <v>0</v>
      </c>
      <c r="TZC16" s="238">
        <f t="shared" ref="TZC16" si="7095">TZC11*0.0425</f>
        <v>0</v>
      </c>
      <c r="TZE16" s="238">
        <f t="shared" ref="TZE16" si="7096">TZE11*0.0425</f>
        <v>0</v>
      </c>
      <c r="TZG16" s="238">
        <f t="shared" ref="TZG16" si="7097">TZG11*0.0425</f>
        <v>0</v>
      </c>
      <c r="TZI16" s="238">
        <f t="shared" ref="TZI16" si="7098">TZI11*0.0425</f>
        <v>0</v>
      </c>
      <c r="TZK16" s="238">
        <f t="shared" ref="TZK16" si="7099">TZK11*0.0425</f>
        <v>0</v>
      </c>
      <c r="TZM16" s="238">
        <f t="shared" ref="TZM16" si="7100">TZM11*0.0425</f>
        <v>0</v>
      </c>
      <c r="TZO16" s="238">
        <f t="shared" ref="TZO16" si="7101">TZO11*0.0425</f>
        <v>0</v>
      </c>
      <c r="TZQ16" s="238">
        <f t="shared" ref="TZQ16" si="7102">TZQ11*0.0425</f>
        <v>0</v>
      </c>
      <c r="TZS16" s="238">
        <f t="shared" ref="TZS16" si="7103">TZS11*0.0425</f>
        <v>0</v>
      </c>
      <c r="TZU16" s="238">
        <f t="shared" ref="TZU16" si="7104">TZU11*0.0425</f>
        <v>0</v>
      </c>
      <c r="TZW16" s="238">
        <f t="shared" ref="TZW16" si="7105">TZW11*0.0425</f>
        <v>0</v>
      </c>
      <c r="TZY16" s="238">
        <f t="shared" ref="TZY16" si="7106">TZY11*0.0425</f>
        <v>0</v>
      </c>
      <c r="UAA16" s="238">
        <f t="shared" ref="UAA16" si="7107">UAA11*0.0425</f>
        <v>0</v>
      </c>
      <c r="UAC16" s="238">
        <f t="shared" ref="UAC16" si="7108">UAC11*0.0425</f>
        <v>0</v>
      </c>
      <c r="UAE16" s="238">
        <f t="shared" ref="UAE16" si="7109">UAE11*0.0425</f>
        <v>0</v>
      </c>
      <c r="UAG16" s="238">
        <f t="shared" ref="UAG16" si="7110">UAG11*0.0425</f>
        <v>0</v>
      </c>
      <c r="UAI16" s="238">
        <f t="shared" ref="UAI16" si="7111">UAI11*0.0425</f>
        <v>0</v>
      </c>
      <c r="UAK16" s="238">
        <f t="shared" ref="UAK16" si="7112">UAK11*0.0425</f>
        <v>0</v>
      </c>
      <c r="UAM16" s="238">
        <f t="shared" ref="UAM16" si="7113">UAM11*0.0425</f>
        <v>0</v>
      </c>
      <c r="UAO16" s="238">
        <f t="shared" ref="UAO16" si="7114">UAO11*0.0425</f>
        <v>0</v>
      </c>
      <c r="UAQ16" s="238">
        <f t="shared" ref="UAQ16" si="7115">UAQ11*0.0425</f>
        <v>0</v>
      </c>
      <c r="UAS16" s="238">
        <f t="shared" ref="UAS16" si="7116">UAS11*0.0425</f>
        <v>0</v>
      </c>
      <c r="UAU16" s="238">
        <f t="shared" ref="UAU16" si="7117">UAU11*0.0425</f>
        <v>0</v>
      </c>
      <c r="UAW16" s="238">
        <f t="shared" ref="UAW16" si="7118">UAW11*0.0425</f>
        <v>0</v>
      </c>
      <c r="UAY16" s="238">
        <f t="shared" ref="UAY16" si="7119">UAY11*0.0425</f>
        <v>0</v>
      </c>
      <c r="UBA16" s="238">
        <f t="shared" ref="UBA16" si="7120">UBA11*0.0425</f>
        <v>0</v>
      </c>
      <c r="UBC16" s="238">
        <f t="shared" ref="UBC16" si="7121">UBC11*0.0425</f>
        <v>0</v>
      </c>
      <c r="UBE16" s="238">
        <f t="shared" ref="UBE16" si="7122">UBE11*0.0425</f>
        <v>0</v>
      </c>
      <c r="UBG16" s="238">
        <f t="shared" ref="UBG16" si="7123">UBG11*0.0425</f>
        <v>0</v>
      </c>
      <c r="UBI16" s="238">
        <f t="shared" ref="UBI16" si="7124">UBI11*0.0425</f>
        <v>0</v>
      </c>
      <c r="UBK16" s="238">
        <f t="shared" ref="UBK16" si="7125">UBK11*0.0425</f>
        <v>0</v>
      </c>
      <c r="UBM16" s="238">
        <f t="shared" ref="UBM16" si="7126">UBM11*0.0425</f>
        <v>0</v>
      </c>
      <c r="UBO16" s="238">
        <f t="shared" ref="UBO16" si="7127">UBO11*0.0425</f>
        <v>0</v>
      </c>
      <c r="UBQ16" s="238">
        <f t="shared" ref="UBQ16" si="7128">UBQ11*0.0425</f>
        <v>0</v>
      </c>
      <c r="UBS16" s="238">
        <f t="shared" ref="UBS16" si="7129">UBS11*0.0425</f>
        <v>0</v>
      </c>
      <c r="UBU16" s="238">
        <f t="shared" ref="UBU16" si="7130">UBU11*0.0425</f>
        <v>0</v>
      </c>
      <c r="UBW16" s="238">
        <f t="shared" ref="UBW16" si="7131">UBW11*0.0425</f>
        <v>0</v>
      </c>
      <c r="UBY16" s="238">
        <f t="shared" ref="UBY16" si="7132">UBY11*0.0425</f>
        <v>0</v>
      </c>
      <c r="UCA16" s="238">
        <f t="shared" ref="UCA16" si="7133">UCA11*0.0425</f>
        <v>0</v>
      </c>
      <c r="UCC16" s="238">
        <f t="shared" ref="UCC16" si="7134">UCC11*0.0425</f>
        <v>0</v>
      </c>
      <c r="UCE16" s="238">
        <f t="shared" ref="UCE16" si="7135">UCE11*0.0425</f>
        <v>0</v>
      </c>
      <c r="UCG16" s="238">
        <f t="shared" ref="UCG16" si="7136">UCG11*0.0425</f>
        <v>0</v>
      </c>
      <c r="UCI16" s="238">
        <f t="shared" ref="UCI16" si="7137">UCI11*0.0425</f>
        <v>0</v>
      </c>
      <c r="UCK16" s="238">
        <f t="shared" ref="UCK16" si="7138">UCK11*0.0425</f>
        <v>0</v>
      </c>
      <c r="UCM16" s="238">
        <f t="shared" ref="UCM16" si="7139">UCM11*0.0425</f>
        <v>0</v>
      </c>
      <c r="UCO16" s="238">
        <f t="shared" ref="UCO16" si="7140">UCO11*0.0425</f>
        <v>0</v>
      </c>
      <c r="UCQ16" s="238">
        <f t="shared" ref="UCQ16" si="7141">UCQ11*0.0425</f>
        <v>0</v>
      </c>
      <c r="UCS16" s="238">
        <f t="shared" ref="UCS16" si="7142">UCS11*0.0425</f>
        <v>0</v>
      </c>
      <c r="UCU16" s="238">
        <f t="shared" ref="UCU16" si="7143">UCU11*0.0425</f>
        <v>0</v>
      </c>
      <c r="UCW16" s="238">
        <f t="shared" ref="UCW16" si="7144">UCW11*0.0425</f>
        <v>0</v>
      </c>
      <c r="UCY16" s="238">
        <f t="shared" ref="UCY16" si="7145">UCY11*0.0425</f>
        <v>0</v>
      </c>
      <c r="UDA16" s="238">
        <f t="shared" ref="UDA16" si="7146">UDA11*0.0425</f>
        <v>0</v>
      </c>
      <c r="UDC16" s="238">
        <f t="shared" ref="UDC16" si="7147">UDC11*0.0425</f>
        <v>0</v>
      </c>
      <c r="UDE16" s="238">
        <f t="shared" ref="UDE16" si="7148">UDE11*0.0425</f>
        <v>0</v>
      </c>
      <c r="UDG16" s="238">
        <f t="shared" ref="UDG16" si="7149">UDG11*0.0425</f>
        <v>0</v>
      </c>
      <c r="UDI16" s="238">
        <f t="shared" ref="UDI16" si="7150">UDI11*0.0425</f>
        <v>0</v>
      </c>
      <c r="UDK16" s="238">
        <f t="shared" ref="UDK16" si="7151">UDK11*0.0425</f>
        <v>0</v>
      </c>
      <c r="UDM16" s="238">
        <f t="shared" ref="UDM16" si="7152">UDM11*0.0425</f>
        <v>0</v>
      </c>
      <c r="UDO16" s="238">
        <f t="shared" ref="UDO16" si="7153">UDO11*0.0425</f>
        <v>0</v>
      </c>
      <c r="UDQ16" s="238">
        <f t="shared" ref="UDQ16" si="7154">UDQ11*0.0425</f>
        <v>0</v>
      </c>
      <c r="UDS16" s="238">
        <f t="shared" ref="UDS16" si="7155">UDS11*0.0425</f>
        <v>0</v>
      </c>
      <c r="UDU16" s="238">
        <f t="shared" ref="UDU16" si="7156">UDU11*0.0425</f>
        <v>0</v>
      </c>
      <c r="UDW16" s="238">
        <f t="shared" ref="UDW16" si="7157">UDW11*0.0425</f>
        <v>0</v>
      </c>
      <c r="UDY16" s="238">
        <f t="shared" ref="UDY16" si="7158">UDY11*0.0425</f>
        <v>0</v>
      </c>
      <c r="UEA16" s="238">
        <f t="shared" ref="UEA16" si="7159">UEA11*0.0425</f>
        <v>0</v>
      </c>
      <c r="UEC16" s="238">
        <f t="shared" ref="UEC16" si="7160">UEC11*0.0425</f>
        <v>0</v>
      </c>
      <c r="UEE16" s="238">
        <f t="shared" ref="UEE16" si="7161">UEE11*0.0425</f>
        <v>0</v>
      </c>
      <c r="UEG16" s="238">
        <f t="shared" ref="UEG16" si="7162">UEG11*0.0425</f>
        <v>0</v>
      </c>
      <c r="UEI16" s="238">
        <f t="shared" ref="UEI16" si="7163">UEI11*0.0425</f>
        <v>0</v>
      </c>
      <c r="UEK16" s="238">
        <f t="shared" ref="UEK16" si="7164">UEK11*0.0425</f>
        <v>0</v>
      </c>
      <c r="UEM16" s="238">
        <f t="shared" ref="UEM16" si="7165">UEM11*0.0425</f>
        <v>0</v>
      </c>
      <c r="UEO16" s="238">
        <f t="shared" ref="UEO16" si="7166">UEO11*0.0425</f>
        <v>0</v>
      </c>
      <c r="UEQ16" s="238">
        <f t="shared" ref="UEQ16" si="7167">UEQ11*0.0425</f>
        <v>0</v>
      </c>
      <c r="UES16" s="238">
        <f t="shared" ref="UES16" si="7168">UES11*0.0425</f>
        <v>0</v>
      </c>
      <c r="UEU16" s="238">
        <f t="shared" ref="UEU16" si="7169">UEU11*0.0425</f>
        <v>0</v>
      </c>
      <c r="UEW16" s="238">
        <f t="shared" ref="UEW16" si="7170">UEW11*0.0425</f>
        <v>0</v>
      </c>
      <c r="UEY16" s="238">
        <f t="shared" ref="UEY16" si="7171">UEY11*0.0425</f>
        <v>0</v>
      </c>
      <c r="UFA16" s="238">
        <f t="shared" ref="UFA16" si="7172">UFA11*0.0425</f>
        <v>0</v>
      </c>
      <c r="UFC16" s="238">
        <f t="shared" ref="UFC16" si="7173">UFC11*0.0425</f>
        <v>0</v>
      </c>
      <c r="UFE16" s="238">
        <f t="shared" ref="UFE16" si="7174">UFE11*0.0425</f>
        <v>0</v>
      </c>
      <c r="UFG16" s="238">
        <f t="shared" ref="UFG16" si="7175">UFG11*0.0425</f>
        <v>0</v>
      </c>
      <c r="UFI16" s="238">
        <f t="shared" ref="UFI16" si="7176">UFI11*0.0425</f>
        <v>0</v>
      </c>
      <c r="UFK16" s="238">
        <f t="shared" ref="UFK16" si="7177">UFK11*0.0425</f>
        <v>0</v>
      </c>
      <c r="UFM16" s="238">
        <f t="shared" ref="UFM16" si="7178">UFM11*0.0425</f>
        <v>0</v>
      </c>
      <c r="UFO16" s="238">
        <f t="shared" ref="UFO16" si="7179">UFO11*0.0425</f>
        <v>0</v>
      </c>
      <c r="UFQ16" s="238">
        <f t="shared" ref="UFQ16" si="7180">UFQ11*0.0425</f>
        <v>0</v>
      </c>
      <c r="UFS16" s="238">
        <f t="shared" ref="UFS16" si="7181">UFS11*0.0425</f>
        <v>0</v>
      </c>
      <c r="UFU16" s="238">
        <f t="shared" ref="UFU16" si="7182">UFU11*0.0425</f>
        <v>0</v>
      </c>
      <c r="UFW16" s="238">
        <f t="shared" ref="UFW16" si="7183">UFW11*0.0425</f>
        <v>0</v>
      </c>
      <c r="UFY16" s="238">
        <f t="shared" ref="UFY16" si="7184">UFY11*0.0425</f>
        <v>0</v>
      </c>
      <c r="UGA16" s="238">
        <f t="shared" ref="UGA16" si="7185">UGA11*0.0425</f>
        <v>0</v>
      </c>
      <c r="UGC16" s="238">
        <f t="shared" ref="UGC16" si="7186">UGC11*0.0425</f>
        <v>0</v>
      </c>
      <c r="UGE16" s="238">
        <f t="shared" ref="UGE16" si="7187">UGE11*0.0425</f>
        <v>0</v>
      </c>
      <c r="UGG16" s="238">
        <f t="shared" ref="UGG16" si="7188">UGG11*0.0425</f>
        <v>0</v>
      </c>
      <c r="UGI16" s="238">
        <f t="shared" ref="UGI16" si="7189">UGI11*0.0425</f>
        <v>0</v>
      </c>
      <c r="UGK16" s="238">
        <f t="shared" ref="UGK16" si="7190">UGK11*0.0425</f>
        <v>0</v>
      </c>
      <c r="UGM16" s="238">
        <f t="shared" ref="UGM16" si="7191">UGM11*0.0425</f>
        <v>0</v>
      </c>
      <c r="UGO16" s="238">
        <f t="shared" ref="UGO16" si="7192">UGO11*0.0425</f>
        <v>0</v>
      </c>
      <c r="UGQ16" s="238">
        <f t="shared" ref="UGQ16" si="7193">UGQ11*0.0425</f>
        <v>0</v>
      </c>
      <c r="UGS16" s="238">
        <f t="shared" ref="UGS16" si="7194">UGS11*0.0425</f>
        <v>0</v>
      </c>
      <c r="UGU16" s="238">
        <f t="shared" ref="UGU16" si="7195">UGU11*0.0425</f>
        <v>0</v>
      </c>
      <c r="UGW16" s="238">
        <f t="shared" ref="UGW16" si="7196">UGW11*0.0425</f>
        <v>0</v>
      </c>
      <c r="UGY16" s="238">
        <f t="shared" ref="UGY16" si="7197">UGY11*0.0425</f>
        <v>0</v>
      </c>
      <c r="UHA16" s="238">
        <f t="shared" ref="UHA16" si="7198">UHA11*0.0425</f>
        <v>0</v>
      </c>
      <c r="UHC16" s="238">
        <f t="shared" ref="UHC16" si="7199">UHC11*0.0425</f>
        <v>0</v>
      </c>
      <c r="UHE16" s="238">
        <f t="shared" ref="UHE16" si="7200">UHE11*0.0425</f>
        <v>0</v>
      </c>
      <c r="UHG16" s="238">
        <f t="shared" ref="UHG16" si="7201">UHG11*0.0425</f>
        <v>0</v>
      </c>
      <c r="UHI16" s="238">
        <f t="shared" ref="UHI16" si="7202">UHI11*0.0425</f>
        <v>0</v>
      </c>
      <c r="UHK16" s="238">
        <f t="shared" ref="UHK16" si="7203">UHK11*0.0425</f>
        <v>0</v>
      </c>
      <c r="UHM16" s="238">
        <f t="shared" ref="UHM16" si="7204">UHM11*0.0425</f>
        <v>0</v>
      </c>
      <c r="UHO16" s="238">
        <f t="shared" ref="UHO16" si="7205">UHO11*0.0425</f>
        <v>0</v>
      </c>
      <c r="UHQ16" s="238">
        <f t="shared" ref="UHQ16" si="7206">UHQ11*0.0425</f>
        <v>0</v>
      </c>
      <c r="UHS16" s="238">
        <f t="shared" ref="UHS16" si="7207">UHS11*0.0425</f>
        <v>0</v>
      </c>
      <c r="UHU16" s="238">
        <f t="shared" ref="UHU16" si="7208">UHU11*0.0425</f>
        <v>0</v>
      </c>
      <c r="UHW16" s="238">
        <f t="shared" ref="UHW16" si="7209">UHW11*0.0425</f>
        <v>0</v>
      </c>
      <c r="UHY16" s="238">
        <f t="shared" ref="UHY16" si="7210">UHY11*0.0425</f>
        <v>0</v>
      </c>
      <c r="UIA16" s="238">
        <f t="shared" ref="UIA16" si="7211">UIA11*0.0425</f>
        <v>0</v>
      </c>
      <c r="UIC16" s="238">
        <f t="shared" ref="UIC16" si="7212">UIC11*0.0425</f>
        <v>0</v>
      </c>
      <c r="UIE16" s="238">
        <f t="shared" ref="UIE16" si="7213">UIE11*0.0425</f>
        <v>0</v>
      </c>
      <c r="UIG16" s="238">
        <f t="shared" ref="UIG16" si="7214">UIG11*0.0425</f>
        <v>0</v>
      </c>
      <c r="UII16" s="238">
        <f t="shared" ref="UII16" si="7215">UII11*0.0425</f>
        <v>0</v>
      </c>
      <c r="UIK16" s="238">
        <f t="shared" ref="UIK16" si="7216">UIK11*0.0425</f>
        <v>0</v>
      </c>
      <c r="UIM16" s="238">
        <f t="shared" ref="UIM16" si="7217">UIM11*0.0425</f>
        <v>0</v>
      </c>
      <c r="UIO16" s="238">
        <f t="shared" ref="UIO16" si="7218">UIO11*0.0425</f>
        <v>0</v>
      </c>
      <c r="UIQ16" s="238">
        <f t="shared" ref="UIQ16" si="7219">UIQ11*0.0425</f>
        <v>0</v>
      </c>
      <c r="UIS16" s="238">
        <f t="shared" ref="UIS16" si="7220">UIS11*0.0425</f>
        <v>0</v>
      </c>
      <c r="UIU16" s="238">
        <f t="shared" ref="UIU16" si="7221">UIU11*0.0425</f>
        <v>0</v>
      </c>
      <c r="UIW16" s="238">
        <f t="shared" ref="UIW16" si="7222">UIW11*0.0425</f>
        <v>0</v>
      </c>
      <c r="UIY16" s="238">
        <f t="shared" ref="UIY16" si="7223">UIY11*0.0425</f>
        <v>0</v>
      </c>
      <c r="UJA16" s="238">
        <f t="shared" ref="UJA16" si="7224">UJA11*0.0425</f>
        <v>0</v>
      </c>
      <c r="UJC16" s="238">
        <f t="shared" ref="UJC16" si="7225">UJC11*0.0425</f>
        <v>0</v>
      </c>
      <c r="UJE16" s="238">
        <f t="shared" ref="UJE16" si="7226">UJE11*0.0425</f>
        <v>0</v>
      </c>
      <c r="UJG16" s="238">
        <f t="shared" ref="UJG16" si="7227">UJG11*0.0425</f>
        <v>0</v>
      </c>
      <c r="UJI16" s="238">
        <f t="shared" ref="UJI16" si="7228">UJI11*0.0425</f>
        <v>0</v>
      </c>
      <c r="UJK16" s="238">
        <f t="shared" ref="UJK16" si="7229">UJK11*0.0425</f>
        <v>0</v>
      </c>
      <c r="UJM16" s="238">
        <f t="shared" ref="UJM16" si="7230">UJM11*0.0425</f>
        <v>0</v>
      </c>
      <c r="UJO16" s="238">
        <f t="shared" ref="UJO16" si="7231">UJO11*0.0425</f>
        <v>0</v>
      </c>
      <c r="UJQ16" s="238">
        <f t="shared" ref="UJQ16" si="7232">UJQ11*0.0425</f>
        <v>0</v>
      </c>
      <c r="UJS16" s="238">
        <f t="shared" ref="UJS16" si="7233">UJS11*0.0425</f>
        <v>0</v>
      </c>
      <c r="UJU16" s="238">
        <f t="shared" ref="UJU16" si="7234">UJU11*0.0425</f>
        <v>0</v>
      </c>
      <c r="UJW16" s="238">
        <f t="shared" ref="UJW16" si="7235">UJW11*0.0425</f>
        <v>0</v>
      </c>
      <c r="UJY16" s="238">
        <f t="shared" ref="UJY16" si="7236">UJY11*0.0425</f>
        <v>0</v>
      </c>
      <c r="UKA16" s="238">
        <f t="shared" ref="UKA16" si="7237">UKA11*0.0425</f>
        <v>0</v>
      </c>
      <c r="UKC16" s="238">
        <f t="shared" ref="UKC16" si="7238">UKC11*0.0425</f>
        <v>0</v>
      </c>
      <c r="UKE16" s="238">
        <f t="shared" ref="UKE16" si="7239">UKE11*0.0425</f>
        <v>0</v>
      </c>
      <c r="UKG16" s="238">
        <f t="shared" ref="UKG16" si="7240">UKG11*0.0425</f>
        <v>0</v>
      </c>
      <c r="UKI16" s="238">
        <f t="shared" ref="UKI16" si="7241">UKI11*0.0425</f>
        <v>0</v>
      </c>
      <c r="UKK16" s="238">
        <f t="shared" ref="UKK16" si="7242">UKK11*0.0425</f>
        <v>0</v>
      </c>
      <c r="UKM16" s="238">
        <f t="shared" ref="UKM16" si="7243">UKM11*0.0425</f>
        <v>0</v>
      </c>
      <c r="UKO16" s="238">
        <f t="shared" ref="UKO16" si="7244">UKO11*0.0425</f>
        <v>0</v>
      </c>
      <c r="UKQ16" s="238">
        <f t="shared" ref="UKQ16" si="7245">UKQ11*0.0425</f>
        <v>0</v>
      </c>
      <c r="UKS16" s="238">
        <f t="shared" ref="UKS16" si="7246">UKS11*0.0425</f>
        <v>0</v>
      </c>
      <c r="UKU16" s="238">
        <f t="shared" ref="UKU16" si="7247">UKU11*0.0425</f>
        <v>0</v>
      </c>
      <c r="UKW16" s="238">
        <f t="shared" ref="UKW16" si="7248">UKW11*0.0425</f>
        <v>0</v>
      </c>
      <c r="UKY16" s="238">
        <f t="shared" ref="UKY16" si="7249">UKY11*0.0425</f>
        <v>0</v>
      </c>
      <c r="ULA16" s="238">
        <f t="shared" ref="ULA16" si="7250">ULA11*0.0425</f>
        <v>0</v>
      </c>
      <c r="ULC16" s="238">
        <f t="shared" ref="ULC16" si="7251">ULC11*0.0425</f>
        <v>0</v>
      </c>
      <c r="ULE16" s="238">
        <f t="shared" ref="ULE16" si="7252">ULE11*0.0425</f>
        <v>0</v>
      </c>
      <c r="ULG16" s="238">
        <f t="shared" ref="ULG16" si="7253">ULG11*0.0425</f>
        <v>0</v>
      </c>
      <c r="ULI16" s="238">
        <f t="shared" ref="ULI16" si="7254">ULI11*0.0425</f>
        <v>0</v>
      </c>
      <c r="ULK16" s="238">
        <f t="shared" ref="ULK16" si="7255">ULK11*0.0425</f>
        <v>0</v>
      </c>
      <c r="ULM16" s="238">
        <f t="shared" ref="ULM16" si="7256">ULM11*0.0425</f>
        <v>0</v>
      </c>
      <c r="ULO16" s="238">
        <f t="shared" ref="ULO16" si="7257">ULO11*0.0425</f>
        <v>0</v>
      </c>
      <c r="ULQ16" s="238">
        <f t="shared" ref="ULQ16" si="7258">ULQ11*0.0425</f>
        <v>0</v>
      </c>
      <c r="ULS16" s="238">
        <f t="shared" ref="ULS16" si="7259">ULS11*0.0425</f>
        <v>0</v>
      </c>
      <c r="ULU16" s="238">
        <f t="shared" ref="ULU16" si="7260">ULU11*0.0425</f>
        <v>0</v>
      </c>
      <c r="ULW16" s="238">
        <f t="shared" ref="ULW16" si="7261">ULW11*0.0425</f>
        <v>0</v>
      </c>
      <c r="ULY16" s="238">
        <f t="shared" ref="ULY16" si="7262">ULY11*0.0425</f>
        <v>0</v>
      </c>
      <c r="UMA16" s="238">
        <f t="shared" ref="UMA16" si="7263">UMA11*0.0425</f>
        <v>0</v>
      </c>
      <c r="UMC16" s="238">
        <f t="shared" ref="UMC16" si="7264">UMC11*0.0425</f>
        <v>0</v>
      </c>
      <c r="UME16" s="238">
        <f t="shared" ref="UME16" si="7265">UME11*0.0425</f>
        <v>0</v>
      </c>
      <c r="UMG16" s="238">
        <f t="shared" ref="UMG16" si="7266">UMG11*0.0425</f>
        <v>0</v>
      </c>
      <c r="UMI16" s="238">
        <f t="shared" ref="UMI16" si="7267">UMI11*0.0425</f>
        <v>0</v>
      </c>
      <c r="UMK16" s="238">
        <f t="shared" ref="UMK16" si="7268">UMK11*0.0425</f>
        <v>0</v>
      </c>
      <c r="UMM16" s="238">
        <f t="shared" ref="UMM16" si="7269">UMM11*0.0425</f>
        <v>0</v>
      </c>
      <c r="UMO16" s="238">
        <f t="shared" ref="UMO16" si="7270">UMO11*0.0425</f>
        <v>0</v>
      </c>
      <c r="UMQ16" s="238">
        <f t="shared" ref="UMQ16" si="7271">UMQ11*0.0425</f>
        <v>0</v>
      </c>
      <c r="UMS16" s="238">
        <f t="shared" ref="UMS16" si="7272">UMS11*0.0425</f>
        <v>0</v>
      </c>
      <c r="UMU16" s="238">
        <f t="shared" ref="UMU16" si="7273">UMU11*0.0425</f>
        <v>0</v>
      </c>
      <c r="UMW16" s="238">
        <f t="shared" ref="UMW16" si="7274">UMW11*0.0425</f>
        <v>0</v>
      </c>
      <c r="UMY16" s="238">
        <f t="shared" ref="UMY16" si="7275">UMY11*0.0425</f>
        <v>0</v>
      </c>
      <c r="UNA16" s="238">
        <f t="shared" ref="UNA16" si="7276">UNA11*0.0425</f>
        <v>0</v>
      </c>
      <c r="UNC16" s="238">
        <f t="shared" ref="UNC16" si="7277">UNC11*0.0425</f>
        <v>0</v>
      </c>
      <c r="UNE16" s="238">
        <f t="shared" ref="UNE16" si="7278">UNE11*0.0425</f>
        <v>0</v>
      </c>
      <c r="UNG16" s="238">
        <f t="shared" ref="UNG16" si="7279">UNG11*0.0425</f>
        <v>0</v>
      </c>
      <c r="UNI16" s="238">
        <f t="shared" ref="UNI16" si="7280">UNI11*0.0425</f>
        <v>0</v>
      </c>
      <c r="UNK16" s="238">
        <f t="shared" ref="UNK16" si="7281">UNK11*0.0425</f>
        <v>0</v>
      </c>
      <c r="UNM16" s="238">
        <f t="shared" ref="UNM16" si="7282">UNM11*0.0425</f>
        <v>0</v>
      </c>
      <c r="UNO16" s="238">
        <f t="shared" ref="UNO16" si="7283">UNO11*0.0425</f>
        <v>0</v>
      </c>
      <c r="UNQ16" s="238">
        <f t="shared" ref="UNQ16" si="7284">UNQ11*0.0425</f>
        <v>0</v>
      </c>
      <c r="UNS16" s="238">
        <f t="shared" ref="UNS16" si="7285">UNS11*0.0425</f>
        <v>0</v>
      </c>
      <c r="UNU16" s="238">
        <f t="shared" ref="UNU16" si="7286">UNU11*0.0425</f>
        <v>0</v>
      </c>
      <c r="UNW16" s="238">
        <f t="shared" ref="UNW16" si="7287">UNW11*0.0425</f>
        <v>0</v>
      </c>
      <c r="UNY16" s="238">
        <f t="shared" ref="UNY16" si="7288">UNY11*0.0425</f>
        <v>0</v>
      </c>
      <c r="UOA16" s="238">
        <f t="shared" ref="UOA16" si="7289">UOA11*0.0425</f>
        <v>0</v>
      </c>
      <c r="UOC16" s="238">
        <f t="shared" ref="UOC16" si="7290">UOC11*0.0425</f>
        <v>0</v>
      </c>
      <c r="UOE16" s="238">
        <f t="shared" ref="UOE16" si="7291">UOE11*0.0425</f>
        <v>0</v>
      </c>
      <c r="UOG16" s="238">
        <f t="shared" ref="UOG16" si="7292">UOG11*0.0425</f>
        <v>0</v>
      </c>
      <c r="UOI16" s="238">
        <f t="shared" ref="UOI16" si="7293">UOI11*0.0425</f>
        <v>0</v>
      </c>
      <c r="UOK16" s="238">
        <f t="shared" ref="UOK16" si="7294">UOK11*0.0425</f>
        <v>0</v>
      </c>
      <c r="UOM16" s="238">
        <f t="shared" ref="UOM16" si="7295">UOM11*0.0425</f>
        <v>0</v>
      </c>
      <c r="UOO16" s="238">
        <f t="shared" ref="UOO16" si="7296">UOO11*0.0425</f>
        <v>0</v>
      </c>
      <c r="UOQ16" s="238">
        <f t="shared" ref="UOQ16" si="7297">UOQ11*0.0425</f>
        <v>0</v>
      </c>
      <c r="UOS16" s="238">
        <f t="shared" ref="UOS16" si="7298">UOS11*0.0425</f>
        <v>0</v>
      </c>
      <c r="UOU16" s="238">
        <f t="shared" ref="UOU16" si="7299">UOU11*0.0425</f>
        <v>0</v>
      </c>
      <c r="UOW16" s="238">
        <f t="shared" ref="UOW16" si="7300">UOW11*0.0425</f>
        <v>0</v>
      </c>
      <c r="UOY16" s="238">
        <f t="shared" ref="UOY16" si="7301">UOY11*0.0425</f>
        <v>0</v>
      </c>
      <c r="UPA16" s="238">
        <f t="shared" ref="UPA16" si="7302">UPA11*0.0425</f>
        <v>0</v>
      </c>
      <c r="UPC16" s="238">
        <f t="shared" ref="UPC16" si="7303">UPC11*0.0425</f>
        <v>0</v>
      </c>
      <c r="UPE16" s="238">
        <f t="shared" ref="UPE16" si="7304">UPE11*0.0425</f>
        <v>0</v>
      </c>
      <c r="UPG16" s="238">
        <f t="shared" ref="UPG16" si="7305">UPG11*0.0425</f>
        <v>0</v>
      </c>
      <c r="UPI16" s="238">
        <f t="shared" ref="UPI16" si="7306">UPI11*0.0425</f>
        <v>0</v>
      </c>
      <c r="UPK16" s="238">
        <f t="shared" ref="UPK16" si="7307">UPK11*0.0425</f>
        <v>0</v>
      </c>
      <c r="UPM16" s="238">
        <f t="shared" ref="UPM16" si="7308">UPM11*0.0425</f>
        <v>0</v>
      </c>
      <c r="UPO16" s="238">
        <f t="shared" ref="UPO16" si="7309">UPO11*0.0425</f>
        <v>0</v>
      </c>
      <c r="UPQ16" s="238">
        <f t="shared" ref="UPQ16" si="7310">UPQ11*0.0425</f>
        <v>0</v>
      </c>
      <c r="UPS16" s="238">
        <f t="shared" ref="UPS16" si="7311">UPS11*0.0425</f>
        <v>0</v>
      </c>
      <c r="UPU16" s="238">
        <f t="shared" ref="UPU16" si="7312">UPU11*0.0425</f>
        <v>0</v>
      </c>
      <c r="UPW16" s="238">
        <f t="shared" ref="UPW16" si="7313">UPW11*0.0425</f>
        <v>0</v>
      </c>
      <c r="UPY16" s="238">
        <f t="shared" ref="UPY16" si="7314">UPY11*0.0425</f>
        <v>0</v>
      </c>
      <c r="UQA16" s="238">
        <f t="shared" ref="UQA16" si="7315">UQA11*0.0425</f>
        <v>0</v>
      </c>
      <c r="UQC16" s="238">
        <f t="shared" ref="UQC16" si="7316">UQC11*0.0425</f>
        <v>0</v>
      </c>
      <c r="UQE16" s="238">
        <f t="shared" ref="UQE16" si="7317">UQE11*0.0425</f>
        <v>0</v>
      </c>
      <c r="UQG16" s="238">
        <f t="shared" ref="UQG16" si="7318">UQG11*0.0425</f>
        <v>0</v>
      </c>
      <c r="UQI16" s="238">
        <f t="shared" ref="UQI16" si="7319">UQI11*0.0425</f>
        <v>0</v>
      </c>
      <c r="UQK16" s="238">
        <f t="shared" ref="UQK16" si="7320">UQK11*0.0425</f>
        <v>0</v>
      </c>
      <c r="UQM16" s="238">
        <f t="shared" ref="UQM16" si="7321">UQM11*0.0425</f>
        <v>0</v>
      </c>
      <c r="UQO16" s="238">
        <f t="shared" ref="UQO16" si="7322">UQO11*0.0425</f>
        <v>0</v>
      </c>
      <c r="UQQ16" s="238">
        <f t="shared" ref="UQQ16" si="7323">UQQ11*0.0425</f>
        <v>0</v>
      </c>
      <c r="UQS16" s="238">
        <f t="shared" ref="UQS16" si="7324">UQS11*0.0425</f>
        <v>0</v>
      </c>
      <c r="UQU16" s="238">
        <f t="shared" ref="UQU16" si="7325">UQU11*0.0425</f>
        <v>0</v>
      </c>
      <c r="UQW16" s="238">
        <f t="shared" ref="UQW16" si="7326">UQW11*0.0425</f>
        <v>0</v>
      </c>
      <c r="UQY16" s="238">
        <f t="shared" ref="UQY16" si="7327">UQY11*0.0425</f>
        <v>0</v>
      </c>
      <c r="URA16" s="238">
        <f t="shared" ref="URA16" si="7328">URA11*0.0425</f>
        <v>0</v>
      </c>
      <c r="URC16" s="238">
        <f t="shared" ref="URC16" si="7329">URC11*0.0425</f>
        <v>0</v>
      </c>
      <c r="URE16" s="238">
        <f t="shared" ref="URE16" si="7330">URE11*0.0425</f>
        <v>0</v>
      </c>
      <c r="URG16" s="238">
        <f t="shared" ref="URG16" si="7331">URG11*0.0425</f>
        <v>0</v>
      </c>
      <c r="URI16" s="238">
        <f t="shared" ref="URI16" si="7332">URI11*0.0425</f>
        <v>0</v>
      </c>
      <c r="URK16" s="238">
        <f t="shared" ref="URK16" si="7333">URK11*0.0425</f>
        <v>0</v>
      </c>
      <c r="URM16" s="238">
        <f t="shared" ref="URM16" si="7334">URM11*0.0425</f>
        <v>0</v>
      </c>
      <c r="URO16" s="238">
        <f t="shared" ref="URO16" si="7335">URO11*0.0425</f>
        <v>0</v>
      </c>
      <c r="URQ16" s="238">
        <f t="shared" ref="URQ16" si="7336">URQ11*0.0425</f>
        <v>0</v>
      </c>
      <c r="URS16" s="238">
        <f t="shared" ref="URS16" si="7337">URS11*0.0425</f>
        <v>0</v>
      </c>
      <c r="URU16" s="238">
        <f t="shared" ref="URU16" si="7338">URU11*0.0425</f>
        <v>0</v>
      </c>
      <c r="URW16" s="238">
        <f t="shared" ref="URW16" si="7339">URW11*0.0425</f>
        <v>0</v>
      </c>
      <c r="URY16" s="238">
        <f t="shared" ref="URY16" si="7340">URY11*0.0425</f>
        <v>0</v>
      </c>
      <c r="USA16" s="238">
        <f t="shared" ref="USA16" si="7341">USA11*0.0425</f>
        <v>0</v>
      </c>
      <c r="USC16" s="238">
        <f t="shared" ref="USC16" si="7342">USC11*0.0425</f>
        <v>0</v>
      </c>
      <c r="USE16" s="238">
        <f t="shared" ref="USE16" si="7343">USE11*0.0425</f>
        <v>0</v>
      </c>
      <c r="USG16" s="238">
        <f t="shared" ref="USG16" si="7344">USG11*0.0425</f>
        <v>0</v>
      </c>
      <c r="USI16" s="238">
        <f t="shared" ref="USI16" si="7345">USI11*0.0425</f>
        <v>0</v>
      </c>
      <c r="USK16" s="238">
        <f t="shared" ref="USK16" si="7346">USK11*0.0425</f>
        <v>0</v>
      </c>
      <c r="USM16" s="238">
        <f t="shared" ref="USM16" si="7347">USM11*0.0425</f>
        <v>0</v>
      </c>
      <c r="USO16" s="238">
        <f t="shared" ref="USO16" si="7348">USO11*0.0425</f>
        <v>0</v>
      </c>
      <c r="USQ16" s="238">
        <f t="shared" ref="USQ16" si="7349">USQ11*0.0425</f>
        <v>0</v>
      </c>
      <c r="USS16" s="238">
        <f t="shared" ref="USS16" si="7350">USS11*0.0425</f>
        <v>0</v>
      </c>
      <c r="USU16" s="238">
        <f t="shared" ref="USU16" si="7351">USU11*0.0425</f>
        <v>0</v>
      </c>
      <c r="USW16" s="238">
        <f t="shared" ref="USW16" si="7352">USW11*0.0425</f>
        <v>0</v>
      </c>
      <c r="USY16" s="238">
        <f t="shared" ref="USY16" si="7353">USY11*0.0425</f>
        <v>0</v>
      </c>
      <c r="UTA16" s="238">
        <f t="shared" ref="UTA16" si="7354">UTA11*0.0425</f>
        <v>0</v>
      </c>
      <c r="UTC16" s="238">
        <f t="shared" ref="UTC16" si="7355">UTC11*0.0425</f>
        <v>0</v>
      </c>
      <c r="UTE16" s="238">
        <f t="shared" ref="UTE16" si="7356">UTE11*0.0425</f>
        <v>0</v>
      </c>
      <c r="UTG16" s="238">
        <f t="shared" ref="UTG16" si="7357">UTG11*0.0425</f>
        <v>0</v>
      </c>
      <c r="UTI16" s="238">
        <f t="shared" ref="UTI16" si="7358">UTI11*0.0425</f>
        <v>0</v>
      </c>
      <c r="UTK16" s="238">
        <f t="shared" ref="UTK16" si="7359">UTK11*0.0425</f>
        <v>0</v>
      </c>
      <c r="UTM16" s="238">
        <f t="shared" ref="UTM16" si="7360">UTM11*0.0425</f>
        <v>0</v>
      </c>
      <c r="UTO16" s="238">
        <f t="shared" ref="UTO16" si="7361">UTO11*0.0425</f>
        <v>0</v>
      </c>
      <c r="UTQ16" s="238">
        <f t="shared" ref="UTQ16" si="7362">UTQ11*0.0425</f>
        <v>0</v>
      </c>
      <c r="UTS16" s="238">
        <f t="shared" ref="UTS16" si="7363">UTS11*0.0425</f>
        <v>0</v>
      </c>
      <c r="UTU16" s="238">
        <f t="shared" ref="UTU16" si="7364">UTU11*0.0425</f>
        <v>0</v>
      </c>
      <c r="UTW16" s="238">
        <f t="shared" ref="UTW16" si="7365">UTW11*0.0425</f>
        <v>0</v>
      </c>
      <c r="UTY16" s="238">
        <f t="shared" ref="UTY16" si="7366">UTY11*0.0425</f>
        <v>0</v>
      </c>
      <c r="UUA16" s="238">
        <f t="shared" ref="UUA16" si="7367">UUA11*0.0425</f>
        <v>0</v>
      </c>
      <c r="UUC16" s="238">
        <f t="shared" ref="UUC16" si="7368">UUC11*0.0425</f>
        <v>0</v>
      </c>
      <c r="UUE16" s="238">
        <f t="shared" ref="UUE16" si="7369">UUE11*0.0425</f>
        <v>0</v>
      </c>
      <c r="UUG16" s="238">
        <f t="shared" ref="UUG16" si="7370">UUG11*0.0425</f>
        <v>0</v>
      </c>
      <c r="UUI16" s="238">
        <f t="shared" ref="UUI16" si="7371">UUI11*0.0425</f>
        <v>0</v>
      </c>
      <c r="UUK16" s="238">
        <f t="shared" ref="UUK16" si="7372">UUK11*0.0425</f>
        <v>0</v>
      </c>
      <c r="UUM16" s="238">
        <f t="shared" ref="UUM16" si="7373">UUM11*0.0425</f>
        <v>0</v>
      </c>
      <c r="UUO16" s="238">
        <f t="shared" ref="UUO16" si="7374">UUO11*0.0425</f>
        <v>0</v>
      </c>
      <c r="UUQ16" s="238">
        <f t="shared" ref="UUQ16" si="7375">UUQ11*0.0425</f>
        <v>0</v>
      </c>
      <c r="UUS16" s="238">
        <f t="shared" ref="UUS16" si="7376">UUS11*0.0425</f>
        <v>0</v>
      </c>
      <c r="UUU16" s="238">
        <f t="shared" ref="UUU16" si="7377">UUU11*0.0425</f>
        <v>0</v>
      </c>
      <c r="UUW16" s="238">
        <f t="shared" ref="UUW16" si="7378">UUW11*0.0425</f>
        <v>0</v>
      </c>
      <c r="UUY16" s="238">
        <f t="shared" ref="UUY16" si="7379">UUY11*0.0425</f>
        <v>0</v>
      </c>
      <c r="UVA16" s="238">
        <f t="shared" ref="UVA16" si="7380">UVA11*0.0425</f>
        <v>0</v>
      </c>
      <c r="UVC16" s="238">
        <f t="shared" ref="UVC16" si="7381">UVC11*0.0425</f>
        <v>0</v>
      </c>
      <c r="UVE16" s="238">
        <f t="shared" ref="UVE16" si="7382">UVE11*0.0425</f>
        <v>0</v>
      </c>
      <c r="UVG16" s="238">
        <f t="shared" ref="UVG16" si="7383">UVG11*0.0425</f>
        <v>0</v>
      </c>
      <c r="UVI16" s="238">
        <f t="shared" ref="UVI16" si="7384">UVI11*0.0425</f>
        <v>0</v>
      </c>
      <c r="UVK16" s="238">
        <f t="shared" ref="UVK16" si="7385">UVK11*0.0425</f>
        <v>0</v>
      </c>
      <c r="UVM16" s="238">
        <f t="shared" ref="UVM16" si="7386">UVM11*0.0425</f>
        <v>0</v>
      </c>
      <c r="UVO16" s="238">
        <f t="shared" ref="UVO16" si="7387">UVO11*0.0425</f>
        <v>0</v>
      </c>
      <c r="UVQ16" s="238">
        <f t="shared" ref="UVQ16" si="7388">UVQ11*0.0425</f>
        <v>0</v>
      </c>
      <c r="UVS16" s="238">
        <f t="shared" ref="UVS16" si="7389">UVS11*0.0425</f>
        <v>0</v>
      </c>
      <c r="UVU16" s="238">
        <f t="shared" ref="UVU16" si="7390">UVU11*0.0425</f>
        <v>0</v>
      </c>
      <c r="UVW16" s="238">
        <f t="shared" ref="UVW16" si="7391">UVW11*0.0425</f>
        <v>0</v>
      </c>
      <c r="UVY16" s="238">
        <f t="shared" ref="UVY16" si="7392">UVY11*0.0425</f>
        <v>0</v>
      </c>
      <c r="UWA16" s="238">
        <f t="shared" ref="UWA16" si="7393">UWA11*0.0425</f>
        <v>0</v>
      </c>
      <c r="UWC16" s="238">
        <f t="shared" ref="UWC16" si="7394">UWC11*0.0425</f>
        <v>0</v>
      </c>
      <c r="UWE16" s="238">
        <f t="shared" ref="UWE16" si="7395">UWE11*0.0425</f>
        <v>0</v>
      </c>
      <c r="UWG16" s="238">
        <f t="shared" ref="UWG16" si="7396">UWG11*0.0425</f>
        <v>0</v>
      </c>
      <c r="UWI16" s="238">
        <f t="shared" ref="UWI16" si="7397">UWI11*0.0425</f>
        <v>0</v>
      </c>
      <c r="UWK16" s="238">
        <f t="shared" ref="UWK16" si="7398">UWK11*0.0425</f>
        <v>0</v>
      </c>
      <c r="UWM16" s="238">
        <f t="shared" ref="UWM16" si="7399">UWM11*0.0425</f>
        <v>0</v>
      </c>
      <c r="UWO16" s="238">
        <f t="shared" ref="UWO16" si="7400">UWO11*0.0425</f>
        <v>0</v>
      </c>
      <c r="UWQ16" s="238">
        <f t="shared" ref="UWQ16" si="7401">UWQ11*0.0425</f>
        <v>0</v>
      </c>
      <c r="UWS16" s="238">
        <f t="shared" ref="UWS16" si="7402">UWS11*0.0425</f>
        <v>0</v>
      </c>
      <c r="UWU16" s="238">
        <f t="shared" ref="UWU16" si="7403">UWU11*0.0425</f>
        <v>0</v>
      </c>
      <c r="UWW16" s="238">
        <f t="shared" ref="UWW16" si="7404">UWW11*0.0425</f>
        <v>0</v>
      </c>
      <c r="UWY16" s="238">
        <f t="shared" ref="UWY16" si="7405">UWY11*0.0425</f>
        <v>0</v>
      </c>
      <c r="UXA16" s="238">
        <f t="shared" ref="UXA16" si="7406">UXA11*0.0425</f>
        <v>0</v>
      </c>
      <c r="UXC16" s="238">
        <f t="shared" ref="UXC16" si="7407">UXC11*0.0425</f>
        <v>0</v>
      </c>
      <c r="UXE16" s="238">
        <f t="shared" ref="UXE16" si="7408">UXE11*0.0425</f>
        <v>0</v>
      </c>
      <c r="UXG16" s="238">
        <f t="shared" ref="UXG16" si="7409">UXG11*0.0425</f>
        <v>0</v>
      </c>
      <c r="UXI16" s="238">
        <f t="shared" ref="UXI16" si="7410">UXI11*0.0425</f>
        <v>0</v>
      </c>
      <c r="UXK16" s="238">
        <f t="shared" ref="UXK16" si="7411">UXK11*0.0425</f>
        <v>0</v>
      </c>
      <c r="UXM16" s="238">
        <f t="shared" ref="UXM16" si="7412">UXM11*0.0425</f>
        <v>0</v>
      </c>
      <c r="UXO16" s="238">
        <f t="shared" ref="UXO16" si="7413">UXO11*0.0425</f>
        <v>0</v>
      </c>
      <c r="UXQ16" s="238">
        <f t="shared" ref="UXQ16" si="7414">UXQ11*0.0425</f>
        <v>0</v>
      </c>
      <c r="UXS16" s="238">
        <f t="shared" ref="UXS16" si="7415">UXS11*0.0425</f>
        <v>0</v>
      </c>
      <c r="UXU16" s="238">
        <f t="shared" ref="UXU16" si="7416">UXU11*0.0425</f>
        <v>0</v>
      </c>
      <c r="UXW16" s="238">
        <f t="shared" ref="UXW16" si="7417">UXW11*0.0425</f>
        <v>0</v>
      </c>
      <c r="UXY16" s="238">
        <f t="shared" ref="UXY16" si="7418">UXY11*0.0425</f>
        <v>0</v>
      </c>
      <c r="UYA16" s="238">
        <f t="shared" ref="UYA16" si="7419">UYA11*0.0425</f>
        <v>0</v>
      </c>
      <c r="UYC16" s="238">
        <f t="shared" ref="UYC16" si="7420">UYC11*0.0425</f>
        <v>0</v>
      </c>
      <c r="UYE16" s="238">
        <f t="shared" ref="UYE16" si="7421">UYE11*0.0425</f>
        <v>0</v>
      </c>
      <c r="UYG16" s="238">
        <f t="shared" ref="UYG16" si="7422">UYG11*0.0425</f>
        <v>0</v>
      </c>
      <c r="UYI16" s="238">
        <f t="shared" ref="UYI16" si="7423">UYI11*0.0425</f>
        <v>0</v>
      </c>
      <c r="UYK16" s="238">
        <f t="shared" ref="UYK16" si="7424">UYK11*0.0425</f>
        <v>0</v>
      </c>
      <c r="UYM16" s="238">
        <f t="shared" ref="UYM16" si="7425">UYM11*0.0425</f>
        <v>0</v>
      </c>
      <c r="UYO16" s="238">
        <f t="shared" ref="UYO16" si="7426">UYO11*0.0425</f>
        <v>0</v>
      </c>
      <c r="UYQ16" s="238">
        <f t="shared" ref="UYQ16" si="7427">UYQ11*0.0425</f>
        <v>0</v>
      </c>
      <c r="UYS16" s="238">
        <f t="shared" ref="UYS16" si="7428">UYS11*0.0425</f>
        <v>0</v>
      </c>
      <c r="UYU16" s="238">
        <f t="shared" ref="UYU16" si="7429">UYU11*0.0425</f>
        <v>0</v>
      </c>
      <c r="UYW16" s="238">
        <f t="shared" ref="UYW16" si="7430">UYW11*0.0425</f>
        <v>0</v>
      </c>
      <c r="UYY16" s="238">
        <f t="shared" ref="UYY16" si="7431">UYY11*0.0425</f>
        <v>0</v>
      </c>
      <c r="UZA16" s="238">
        <f t="shared" ref="UZA16" si="7432">UZA11*0.0425</f>
        <v>0</v>
      </c>
      <c r="UZC16" s="238">
        <f t="shared" ref="UZC16" si="7433">UZC11*0.0425</f>
        <v>0</v>
      </c>
      <c r="UZE16" s="238">
        <f t="shared" ref="UZE16" si="7434">UZE11*0.0425</f>
        <v>0</v>
      </c>
      <c r="UZG16" s="238">
        <f t="shared" ref="UZG16" si="7435">UZG11*0.0425</f>
        <v>0</v>
      </c>
      <c r="UZI16" s="238">
        <f t="shared" ref="UZI16" si="7436">UZI11*0.0425</f>
        <v>0</v>
      </c>
      <c r="UZK16" s="238">
        <f t="shared" ref="UZK16" si="7437">UZK11*0.0425</f>
        <v>0</v>
      </c>
      <c r="UZM16" s="238">
        <f t="shared" ref="UZM16" si="7438">UZM11*0.0425</f>
        <v>0</v>
      </c>
      <c r="UZO16" s="238">
        <f t="shared" ref="UZO16" si="7439">UZO11*0.0425</f>
        <v>0</v>
      </c>
      <c r="UZQ16" s="238">
        <f t="shared" ref="UZQ16" si="7440">UZQ11*0.0425</f>
        <v>0</v>
      </c>
      <c r="UZS16" s="238">
        <f t="shared" ref="UZS16" si="7441">UZS11*0.0425</f>
        <v>0</v>
      </c>
      <c r="UZU16" s="238">
        <f t="shared" ref="UZU16" si="7442">UZU11*0.0425</f>
        <v>0</v>
      </c>
      <c r="UZW16" s="238">
        <f t="shared" ref="UZW16" si="7443">UZW11*0.0425</f>
        <v>0</v>
      </c>
      <c r="UZY16" s="238">
        <f t="shared" ref="UZY16" si="7444">UZY11*0.0425</f>
        <v>0</v>
      </c>
      <c r="VAA16" s="238">
        <f t="shared" ref="VAA16" si="7445">VAA11*0.0425</f>
        <v>0</v>
      </c>
      <c r="VAC16" s="238">
        <f t="shared" ref="VAC16" si="7446">VAC11*0.0425</f>
        <v>0</v>
      </c>
      <c r="VAE16" s="238">
        <f t="shared" ref="VAE16" si="7447">VAE11*0.0425</f>
        <v>0</v>
      </c>
      <c r="VAG16" s="238">
        <f t="shared" ref="VAG16" si="7448">VAG11*0.0425</f>
        <v>0</v>
      </c>
      <c r="VAI16" s="238">
        <f t="shared" ref="VAI16" si="7449">VAI11*0.0425</f>
        <v>0</v>
      </c>
      <c r="VAK16" s="238">
        <f t="shared" ref="VAK16" si="7450">VAK11*0.0425</f>
        <v>0</v>
      </c>
      <c r="VAM16" s="238">
        <f t="shared" ref="VAM16" si="7451">VAM11*0.0425</f>
        <v>0</v>
      </c>
      <c r="VAO16" s="238">
        <f t="shared" ref="VAO16" si="7452">VAO11*0.0425</f>
        <v>0</v>
      </c>
      <c r="VAQ16" s="238">
        <f t="shared" ref="VAQ16" si="7453">VAQ11*0.0425</f>
        <v>0</v>
      </c>
      <c r="VAS16" s="238">
        <f t="shared" ref="VAS16" si="7454">VAS11*0.0425</f>
        <v>0</v>
      </c>
      <c r="VAU16" s="238">
        <f t="shared" ref="VAU16" si="7455">VAU11*0.0425</f>
        <v>0</v>
      </c>
      <c r="VAW16" s="238">
        <f t="shared" ref="VAW16" si="7456">VAW11*0.0425</f>
        <v>0</v>
      </c>
      <c r="VAY16" s="238">
        <f t="shared" ref="VAY16" si="7457">VAY11*0.0425</f>
        <v>0</v>
      </c>
      <c r="VBA16" s="238">
        <f t="shared" ref="VBA16" si="7458">VBA11*0.0425</f>
        <v>0</v>
      </c>
      <c r="VBC16" s="238">
        <f t="shared" ref="VBC16" si="7459">VBC11*0.0425</f>
        <v>0</v>
      </c>
      <c r="VBE16" s="238">
        <f t="shared" ref="VBE16" si="7460">VBE11*0.0425</f>
        <v>0</v>
      </c>
      <c r="VBG16" s="238">
        <f t="shared" ref="VBG16" si="7461">VBG11*0.0425</f>
        <v>0</v>
      </c>
      <c r="VBI16" s="238">
        <f t="shared" ref="VBI16" si="7462">VBI11*0.0425</f>
        <v>0</v>
      </c>
      <c r="VBK16" s="238">
        <f t="shared" ref="VBK16" si="7463">VBK11*0.0425</f>
        <v>0</v>
      </c>
      <c r="VBM16" s="238">
        <f t="shared" ref="VBM16" si="7464">VBM11*0.0425</f>
        <v>0</v>
      </c>
      <c r="VBO16" s="238">
        <f t="shared" ref="VBO16" si="7465">VBO11*0.0425</f>
        <v>0</v>
      </c>
      <c r="VBQ16" s="238">
        <f t="shared" ref="VBQ16" si="7466">VBQ11*0.0425</f>
        <v>0</v>
      </c>
      <c r="VBS16" s="238">
        <f t="shared" ref="VBS16" si="7467">VBS11*0.0425</f>
        <v>0</v>
      </c>
      <c r="VBU16" s="238">
        <f t="shared" ref="VBU16" si="7468">VBU11*0.0425</f>
        <v>0</v>
      </c>
      <c r="VBW16" s="238">
        <f t="shared" ref="VBW16" si="7469">VBW11*0.0425</f>
        <v>0</v>
      </c>
      <c r="VBY16" s="238">
        <f t="shared" ref="VBY16" si="7470">VBY11*0.0425</f>
        <v>0</v>
      </c>
      <c r="VCA16" s="238">
        <f t="shared" ref="VCA16" si="7471">VCA11*0.0425</f>
        <v>0</v>
      </c>
      <c r="VCC16" s="238">
        <f t="shared" ref="VCC16" si="7472">VCC11*0.0425</f>
        <v>0</v>
      </c>
      <c r="VCE16" s="238">
        <f t="shared" ref="VCE16" si="7473">VCE11*0.0425</f>
        <v>0</v>
      </c>
      <c r="VCG16" s="238">
        <f t="shared" ref="VCG16" si="7474">VCG11*0.0425</f>
        <v>0</v>
      </c>
      <c r="VCI16" s="238">
        <f t="shared" ref="VCI16" si="7475">VCI11*0.0425</f>
        <v>0</v>
      </c>
      <c r="VCK16" s="238">
        <f t="shared" ref="VCK16" si="7476">VCK11*0.0425</f>
        <v>0</v>
      </c>
      <c r="VCM16" s="238">
        <f t="shared" ref="VCM16" si="7477">VCM11*0.0425</f>
        <v>0</v>
      </c>
      <c r="VCO16" s="238">
        <f t="shared" ref="VCO16" si="7478">VCO11*0.0425</f>
        <v>0</v>
      </c>
      <c r="VCQ16" s="238">
        <f t="shared" ref="VCQ16" si="7479">VCQ11*0.0425</f>
        <v>0</v>
      </c>
      <c r="VCS16" s="238">
        <f t="shared" ref="VCS16" si="7480">VCS11*0.0425</f>
        <v>0</v>
      </c>
      <c r="VCU16" s="238">
        <f t="shared" ref="VCU16" si="7481">VCU11*0.0425</f>
        <v>0</v>
      </c>
      <c r="VCW16" s="238">
        <f t="shared" ref="VCW16" si="7482">VCW11*0.0425</f>
        <v>0</v>
      </c>
      <c r="VCY16" s="238">
        <f t="shared" ref="VCY16" si="7483">VCY11*0.0425</f>
        <v>0</v>
      </c>
      <c r="VDA16" s="238">
        <f t="shared" ref="VDA16" si="7484">VDA11*0.0425</f>
        <v>0</v>
      </c>
      <c r="VDC16" s="238">
        <f t="shared" ref="VDC16" si="7485">VDC11*0.0425</f>
        <v>0</v>
      </c>
      <c r="VDE16" s="238">
        <f t="shared" ref="VDE16" si="7486">VDE11*0.0425</f>
        <v>0</v>
      </c>
      <c r="VDG16" s="238">
        <f t="shared" ref="VDG16" si="7487">VDG11*0.0425</f>
        <v>0</v>
      </c>
      <c r="VDI16" s="238">
        <f t="shared" ref="VDI16" si="7488">VDI11*0.0425</f>
        <v>0</v>
      </c>
      <c r="VDK16" s="238">
        <f t="shared" ref="VDK16" si="7489">VDK11*0.0425</f>
        <v>0</v>
      </c>
      <c r="VDM16" s="238">
        <f t="shared" ref="VDM16" si="7490">VDM11*0.0425</f>
        <v>0</v>
      </c>
      <c r="VDO16" s="238">
        <f t="shared" ref="VDO16" si="7491">VDO11*0.0425</f>
        <v>0</v>
      </c>
      <c r="VDQ16" s="238">
        <f t="shared" ref="VDQ16" si="7492">VDQ11*0.0425</f>
        <v>0</v>
      </c>
      <c r="VDS16" s="238">
        <f t="shared" ref="VDS16" si="7493">VDS11*0.0425</f>
        <v>0</v>
      </c>
      <c r="VDU16" s="238">
        <f t="shared" ref="VDU16" si="7494">VDU11*0.0425</f>
        <v>0</v>
      </c>
      <c r="VDW16" s="238">
        <f t="shared" ref="VDW16" si="7495">VDW11*0.0425</f>
        <v>0</v>
      </c>
      <c r="VDY16" s="238">
        <f t="shared" ref="VDY16" si="7496">VDY11*0.0425</f>
        <v>0</v>
      </c>
      <c r="VEA16" s="238">
        <f t="shared" ref="VEA16" si="7497">VEA11*0.0425</f>
        <v>0</v>
      </c>
      <c r="VEC16" s="238">
        <f t="shared" ref="VEC16" si="7498">VEC11*0.0425</f>
        <v>0</v>
      </c>
      <c r="VEE16" s="238">
        <f t="shared" ref="VEE16" si="7499">VEE11*0.0425</f>
        <v>0</v>
      </c>
      <c r="VEG16" s="238">
        <f t="shared" ref="VEG16" si="7500">VEG11*0.0425</f>
        <v>0</v>
      </c>
      <c r="VEI16" s="238">
        <f t="shared" ref="VEI16" si="7501">VEI11*0.0425</f>
        <v>0</v>
      </c>
      <c r="VEK16" s="238">
        <f t="shared" ref="VEK16" si="7502">VEK11*0.0425</f>
        <v>0</v>
      </c>
      <c r="VEM16" s="238">
        <f t="shared" ref="VEM16" si="7503">VEM11*0.0425</f>
        <v>0</v>
      </c>
      <c r="VEO16" s="238">
        <f t="shared" ref="VEO16" si="7504">VEO11*0.0425</f>
        <v>0</v>
      </c>
      <c r="VEQ16" s="238">
        <f t="shared" ref="VEQ16" si="7505">VEQ11*0.0425</f>
        <v>0</v>
      </c>
      <c r="VES16" s="238">
        <f t="shared" ref="VES16" si="7506">VES11*0.0425</f>
        <v>0</v>
      </c>
      <c r="VEU16" s="238">
        <f t="shared" ref="VEU16" si="7507">VEU11*0.0425</f>
        <v>0</v>
      </c>
      <c r="VEW16" s="238">
        <f t="shared" ref="VEW16" si="7508">VEW11*0.0425</f>
        <v>0</v>
      </c>
      <c r="VEY16" s="238">
        <f t="shared" ref="VEY16" si="7509">VEY11*0.0425</f>
        <v>0</v>
      </c>
      <c r="VFA16" s="238">
        <f t="shared" ref="VFA16" si="7510">VFA11*0.0425</f>
        <v>0</v>
      </c>
      <c r="VFC16" s="238">
        <f t="shared" ref="VFC16" si="7511">VFC11*0.0425</f>
        <v>0</v>
      </c>
      <c r="VFE16" s="238">
        <f t="shared" ref="VFE16" si="7512">VFE11*0.0425</f>
        <v>0</v>
      </c>
      <c r="VFG16" s="238">
        <f t="shared" ref="VFG16" si="7513">VFG11*0.0425</f>
        <v>0</v>
      </c>
      <c r="VFI16" s="238">
        <f t="shared" ref="VFI16" si="7514">VFI11*0.0425</f>
        <v>0</v>
      </c>
      <c r="VFK16" s="238">
        <f t="shared" ref="VFK16" si="7515">VFK11*0.0425</f>
        <v>0</v>
      </c>
      <c r="VFM16" s="238">
        <f t="shared" ref="VFM16" si="7516">VFM11*0.0425</f>
        <v>0</v>
      </c>
      <c r="VFO16" s="238">
        <f t="shared" ref="VFO16" si="7517">VFO11*0.0425</f>
        <v>0</v>
      </c>
      <c r="VFQ16" s="238">
        <f t="shared" ref="VFQ16" si="7518">VFQ11*0.0425</f>
        <v>0</v>
      </c>
      <c r="VFS16" s="238">
        <f t="shared" ref="VFS16" si="7519">VFS11*0.0425</f>
        <v>0</v>
      </c>
      <c r="VFU16" s="238">
        <f t="shared" ref="VFU16" si="7520">VFU11*0.0425</f>
        <v>0</v>
      </c>
      <c r="VFW16" s="238">
        <f t="shared" ref="VFW16" si="7521">VFW11*0.0425</f>
        <v>0</v>
      </c>
      <c r="VFY16" s="238">
        <f t="shared" ref="VFY16" si="7522">VFY11*0.0425</f>
        <v>0</v>
      </c>
      <c r="VGA16" s="238">
        <f t="shared" ref="VGA16" si="7523">VGA11*0.0425</f>
        <v>0</v>
      </c>
      <c r="VGC16" s="238">
        <f t="shared" ref="VGC16" si="7524">VGC11*0.0425</f>
        <v>0</v>
      </c>
      <c r="VGE16" s="238">
        <f t="shared" ref="VGE16" si="7525">VGE11*0.0425</f>
        <v>0</v>
      </c>
      <c r="VGG16" s="238">
        <f t="shared" ref="VGG16" si="7526">VGG11*0.0425</f>
        <v>0</v>
      </c>
      <c r="VGI16" s="238">
        <f t="shared" ref="VGI16" si="7527">VGI11*0.0425</f>
        <v>0</v>
      </c>
      <c r="VGK16" s="238">
        <f t="shared" ref="VGK16" si="7528">VGK11*0.0425</f>
        <v>0</v>
      </c>
      <c r="VGM16" s="238">
        <f t="shared" ref="VGM16" si="7529">VGM11*0.0425</f>
        <v>0</v>
      </c>
      <c r="VGO16" s="238">
        <f t="shared" ref="VGO16" si="7530">VGO11*0.0425</f>
        <v>0</v>
      </c>
      <c r="VGQ16" s="238">
        <f t="shared" ref="VGQ16" si="7531">VGQ11*0.0425</f>
        <v>0</v>
      </c>
      <c r="VGS16" s="238">
        <f t="shared" ref="VGS16" si="7532">VGS11*0.0425</f>
        <v>0</v>
      </c>
      <c r="VGU16" s="238">
        <f t="shared" ref="VGU16" si="7533">VGU11*0.0425</f>
        <v>0</v>
      </c>
      <c r="VGW16" s="238">
        <f t="shared" ref="VGW16" si="7534">VGW11*0.0425</f>
        <v>0</v>
      </c>
      <c r="VGY16" s="238">
        <f t="shared" ref="VGY16" si="7535">VGY11*0.0425</f>
        <v>0</v>
      </c>
      <c r="VHA16" s="238">
        <f t="shared" ref="VHA16" si="7536">VHA11*0.0425</f>
        <v>0</v>
      </c>
      <c r="VHC16" s="238">
        <f t="shared" ref="VHC16" si="7537">VHC11*0.0425</f>
        <v>0</v>
      </c>
      <c r="VHE16" s="238">
        <f t="shared" ref="VHE16" si="7538">VHE11*0.0425</f>
        <v>0</v>
      </c>
      <c r="VHG16" s="238">
        <f t="shared" ref="VHG16" si="7539">VHG11*0.0425</f>
        <v>0</v>
      </c>
      <c r="VHI16" s="238">
        <f t="shared" ref="VHI16" si="7540">VHI11*0.0425</f>
        <v>0</v>
      </c>
      <c r="VHK16" s="238">
        <f t="shared" ref="VHK16" si="7541">VHK11*0.0425</f>
        <v>0</v>
      </c>
      <c r="VHM16" s="238">
        <f t="shared" ref="VHM16" si="7542">VHM11*0.0425</f>
        <v>0</v>
      </c>
      <c r="VHO16" s="238">
        <f t="shared" ref="VHO16" si="7543">VHO11*0.0425</f>
        <v>0</v>
      </c>
      <c r="VHQ16" s="238">
        <f t="shared" ref="VHQ16" si="7544">VHQ11*0.0425</f>
        <v>0</v>
      </c>
      <c r="VHS16" s="238">
        <f t="shared" ref="VHS16" si="7545">VHS11*0.0425</f>
        <v>0</v>
      </c>
      <c r="VHU16" s="238">
        <f t="shared" ref="VHU16" si="7546">VHU11*0.0425</f>
        <v>0</v>
      </c>
      <c r="VHW16" s="238">
        <f t="shared" ref="VHW16" si="7547">VHW11*0.0425</f>
        <v>0</v>
      </c>
      <c r="VHY16" s="238">
        <f t="shared" ref="VHY16" si="7548">VHY11*0.0425</f>
        <v>0</v>
      </c>
      <c r="VIA16" s="238">
        <f t="shared" ref="VIA16" si="7549">VIA11*0.0425</f>
        <v>0</v>
      </c>
      <c r="VIC16" s="238">
        <f t="shared" ref="VIC16" si="7550">VIC11*0.0425</f>
        <v>0</v>
      </c>
      <c r="VIE16" s="238">
        <f t="shared" ref="VIE16" si="7551">VIE11*0.0425</f>
        <v>0</v>
      </c>
      <c r="VIG16" s="238">
        <f t="shared" ref="VIG16" si="7552">VIG11*0.0425</f>
        <v>0</v>
      </c>
      <c r="VII16" s="238">
        <f t="shared" ref="VII16" si="7553">VII11*0.0425</f>
        <v>0</v>
      </c>
      <c r="VIK16" s="238">
        <f t="shared" ref="VIK16" si="7554">VIK11*0.0425</f>
        <v>0</v>
      </c>
      <c r="VIM16" s="238">
        <f t="shared" ref="VIM16" si="7555">VIM11*0.0425</f>
        <v>0</v>
      </c>
      <c r="VIO16" s="238">
        <f t="shared" ref="VIO16" si="7556">VIO11*0.0425</f>
        <v>0</v>
      </c>
      <c r="VIQ16" s="238">
        <f t="shared" ref="VIQ16" si="7557">VIQ11*0.0425</f>
        <v>0</v>
      </c>
      <c r="VIS16" s="238">
        <f t="shared" ref="VIS16" si="7558">VIS11*0.0425</f>
        <v>0</v>
      </c>
      <c r="VIU16" s="238">
        <f t="shared" ref="VIU16" si="7559">VIU11*0.0425</f>
        <v>0</v>
      </c>
      <c r="VIW16" s="238">
        <f t="shared" ref="VIW16" si="7560">VIW11*0.0425</f>
        <v>0</v>
      </c>
      <c r="VIY16" s="238">
        <f t="shared" ref="VIY16" si="7561">VIY11*0.0425</f>
        <v>0</v>
      </c>
      <c r="VJA16" s="238">
        <f t="shared" ref="VJA16" si="7562">VJA11*0.0425</f>
        <v>0</v>
      </c>
      <c r="VJC16" s="238">
        <f t="shared" ref="VJC16" si="7563">VJC11*0.0425</f>
        <v>0</v>
      </c>
      <c r="VJE16" s="238">
        <f t="shared" ref="VJE16" si="7564">VJE11*0.0425</f>
        <v>0</v>
      </c>
      <c r="VJG16" s="238">
        <f t="shared" ref="VJG16" si="7565">VJG11*0.0425</f>
        <v>0</v>
      </c>
      <c r="VJI16" s="238">
        <f t="shared" ref="VJI16" si="7566">VJI11*0.0425</f>
        <v>0</v>
      </c>
      <c r="VJK16" s="238">
        <f t="shared" ref="VJK16" si="7567">VJK11*0.0425</f>
        <v>0</v>
      </c>
      <c r="VJM16" s="238">
        <f t="shared" ref="VJM16" si="7568">VJM11*0.0425</f>
        <v>0</v>
      </c>
      <c r="VJO16" s="238">
        <f t="shared" ref="VJO16" si="7569">VJO11*0.0425</f>
        <v>0</v>
      </c>
      <c r="VJQ16" s="238">
        <f t="shared" ref="VJQ16" si="7570">VJQ11*0.0425</f>
        <v>0</v>
      </c>
      <c r="VJS16" s="238">
        <f t="shared" ref="VJS16" si="7571">VJS11*0.0425</f>
        <v>0</v>
      </c>
      <c r="VJU16" s="238">
        <f t="shared" ref="VJU16" si="7572">VJU11*0.0425</f>
        <v>0</v>
      </c>
      <c r="VJW16" s="238">
        <f t="shared" ref="VJW16" si="7573">VJW11*0.0425</f>
        <v>0</v>
      </c>
      <c r="VJY16" s="238">
        <f t="shared" ref="VJY16" si="7574">VJY11*0.0425</f>
        <v>0</v>
      </c>
      <c r="VKA16" s="238">
        <f t="shared" ref="VKA16" si="7575">VKA11*0.0425</f>
        <v>0</v>
      </c>
      <c r="VKC16" s="238">
        <f t="shared" ref="VKC16" si="7576">VKC11*0.0425</f>
        <v>0</v>
      </c>
      <c r="VKE16" s="238">
        <f t="shared" ref="VKE16" si="7577">VKE11*0.0425</f>
        <v>0</v>
      </c>
      <c r="VKG16" s="238">
        <f t="shared" ref="VKG16" si="7578">VKG11*0.0425</f>
        <v>0</v>
      </c>
      <c r="VKI16" s="238">
        <f t="shared" ref="VKI16" si="7579">VKI11*0.0425</f>
        <v>0</v>
      </c>
      <c r="VKK16" s="238">
        <f t="shared" ref="VKK16" si="7580">VKK11*0.0425</f>
        <v>0</v>
      </c>
      <c r="VKM16" s="238">
        <f t="shared" ref="VKM16" si="7581">VKM11*0.0425</f>
        <v>0</v>
      </c>
      <c r="VKO16" s="238">
        <f t="shared" ref="VKO16" si="7582">VKO11*0.0425</f>
        <v>0</v>
      </c>
      <c r="VKQ16" s="238">
        <f t="shared" ref="VKQ16" si="7583">VKQ11*0.0425</f>
        <v>0</v>
      </c>
      <c r="VKS16" s="238">
        <f t="shared" ref="VKS16" si="7584">VKS11*0.0425</f>
        <v>0</v>
      </c>
      <c r="VKU16" s="238">
        <f t="shared" ref="VKU16" si="7585">VKU11*0.0425</f>
        <v>0</v>
      </c>
      <c r="VKW16" s="238">
        <f t="shared" ref="VKW16" si="7586">VKW11*0.0425</f>
        <v>0</v>
      </c>
      <c r="VKY16" s="238">
        <f t="shared" ref="VKY16" si="7587">VKY11*0.0425</f>
        <v>0</v>
      </c>
      <c r="VLA16" s="238">
        <f t="shared" ref="VLA16" si="7588">VLA11*0.0425</f>
        <v>0</v>
      </c>
      <c r="VLC16" s="238">
        <f t="shared" ref="VLC16" si="7589">VLC11*0.0425</f>
        <v>0</v>
      </c>
      <c r="VLE16" s="238">
        <f t="shared" ref="VLE16" si="7590">VLE11*0.0425</f>
        <v>0</v>
      </c>
      <c r="VLG16" s="238">
        <f t="shared" ref="VLG16" si="7591">VLG11*0.0425</f>
        <v>0</v>
      </c>
      <c r="VLI16" s="238">
        <f t="shared" ref="VLI16" si="7592">VLI11*0.0425</f>
        <v>0</v>
      </c>
      <c r="VLK16" s="238">
        <f t="shared" ref="VLK16" si="7593">VLK11*0.0425</f>
        <v>0</v>
      </c>
      <c r="VLM16" s="238">
        <f t="shared" ref="VLM16" si="7594">VLM11*0.0425</f>
        <v>0</v>
      </c>
      <c r="VLO16" s="238">
        <f t="shared" ref="VLO16" si="7595">VLO11*0.0425</f>
        <v>0</v>
      </c>
      <c r="VLQ16" s="238">
        <f t="shared" ref="VLQ16" si="7596">VLQ11*0.0425</f>
        <v>0</v>
      </c>
      <c r="VLS16" s="238">
        <f t="shared" ref="VLS16" si="7597">VLS11*0.0425</f>
        <v>0</v>
      </c>
      <c r="VLU16" s="238">
        <f t="shared" ref="VLU16" si="7598">VLU11*0.0425</f>
        <v>0</v>
      </c>
      <c r="VLW16" s="238">
        <f t="shared" ref="VLW16" si="7599">VLW11*0.0425</f>
        <v>0</v>
      </c>
      <c r="VLY16" s="238">
        <f t="shared" ref="VLY16" si="7600">VLY11*0.0425</f>
        <v>0</v>
      </c>
      <c r="VMA16" s="238">
        <f t="shared" ref="VMA16" si="7601">VMA11*0.0425</f>
        <v>0</v>
      </c>
      <c r="VMC16" s="238">
        <f t="shared" ref="VMC16" si="7602">VMC11*0.0425</f>
        <v>0</v>
      </c>
      <c r="VME16" s="238">
        <f t="shared" ref="VME16" si="7603">VME11*0.0425</f>
        <v>0</v>
      </c>
      <c r="VMG16" s="238">
        <f t="shared" ref="VMG16" si="7604">VMG11*0.0425</f>
        <v>0</v>
      </c>
      <c r="VMI16" s="238">
        <f t="shared" ref="VMI16" si="7605">VMI11*0.0425</f>
        <v>0</v>
      </c>
      <c r="VMK16" s="238">
        <f t="shared" ref="VMK16" si="7606">VMK11*0.0425</f>
        <v>0</v>
      </c>
      <c r="VMM16" s="238">
        <f t="shared" ref="VMM16" si="7607">VMM11*0.0425</f>
        <v>0</v>
      </c>
      <c r="VMO16" s="238">
        <f t="shared" ref="VMO16" si="7608">VMO11*0.0425</f>
        <v>0</v>
      </c>
      <c r="VMQ16" s="238">
        <f t="shared" ref="VMQ16" si="7609">VMQ11*0.0425</f>
        <v>0</v>
      </c>
      <c r="VMS16" s="238">
        <f t="shared" ref="VMS16" si="7610">VMS11*0.0425</f>
        <v>0</v>
      </c>
      <c r="VMU16" s="238">
        <f t="shared" ref="VMU16" si="7611">VMU11*0.0425</f>
        <v>0</v>
      </c>
      <c r="VMW16" s="238">
        <f t="shared" ref="VMW16" si="7612">VMW11*0.0425</f>
        <v>0</v>
      </c>
      <c r="VMY16" s="238">
        <f t="shared" ref="VMY16" si="7613">VMY11*0.0425</f>
        <v>0</v>
      </c>
      <c r="VNA16" s="238">
        <f t="shared" ref="VNA16" si="7614">VNA11*0.0425</f>
        <v>0</v>
      </c>
      <c r="VNC16" s="238">
        <f t="shared" ref="VNC16" si="7615">VNC11*0.0425</f>
        <v>0</v>
      </c>
      <c r="VNE16" s="238">
        <f t="shared" ref="VNE16" si="7616">VNE11*0.0425</f>
        <v>0</v>
      </c>
      <c r="VNG16" s="238">
        <f t="shared" ref="VNG16" si="7617">VNG11*0.0425</f>
        <v>0</v>
      </c>
      <c r="VNI16" s="238">
        <f t="shared" ref="VNI16" si="7618">VNI11*0.0425</f>
        <v>0</v>
      </c>
      <c r="VNK16" s="238">
        <f t="shared" ref="VNK16" si="7619">VNK11*0.0425</f>
        <v>0</v>
      </c>
      <c r="VNM16" s="238">
        <f t="shared" ref="VNM16" si="7620">VNM11*0.0425</f>
        <v>0</v>
      </c>
      <c r="VNO16" s="238">
        <f t="shared" ref="VNO16" si="7621">VNO11*0.0425</f>
        <v>0</v>
      </c>
      <c r="VNQ16" s="238">
        <f t="shared" ref="VNQ16" si="7622">VNQ11*0.0425</f>
        <v>0</v>
      </c>
      <c r="VNS16" s="238">
        <f t="shared" ref="VNS16" si="7623">VNS11*0.0425</f>
        <v>0</v>
      </c>
      <c r="VNU16" s="238">
        <f t="shared" ref="VNU16" si="7624">VNU11*0.0425</f>
        <v>0</v>
      </c>
      <c r="VNW16" s="238">
        <f t="shared" ref="VNW16" si="7625">VNW11*0.0425</f>
        <v>0</v>
      </c>
      <c r="VNY16" s="238">
        <f t="shared" ref="VNY16" si="7626">VNY11*0.0425</f>
        <v>0</v>
      </c>
      <c r="VOA16" s="238">
        <f t="shared" ref="VOA16" si="7627">VOA11*0.0425</f>
        <v>0</v>
      </c>
      <c r="VOC16" s="238">
        <f t="shared" ref="VOC16" si="7628">VOC11*0.0425</f>
        <v>0</v>
      </c>
      <c r="VOE16" s="238">
        <f t="shared" ref="VOE16" si="7629">VOE11*0.0425</f>
        <v>0</v>
      </c>
      <c r="VOG16" s="238">
        <f t="shared" ref="VOG16" si="7630">VOG11*0.0425</f>
        <v>0</v>
      </c>
      <c r="VOI16" s="238">
        <f t="shared" ref="VOI16" si="7631">VOI11*0.0425</f>
        <v>0</v>
      </c>
      <c r="VOK16" s="238">
        <f t="shared" ref="VOK16" si="7632">VOK11*0.0425</f>
        <v>0</v>
      </c>
      <c r="VOM16" s="238">
        <f t="shared" ref="VOM16" si="7633">VOM11*0.0425</f>
        <v>0</v>
      </c>
      <c r="VOO16" s="238">
        <f t="shared" ref="VOO16" si="7634">VOO11*0.0425</f>
        <v>0</v>
      </c>
      <c r="VOQ16" s="238">
        <f t="shared" ref="VOQ16" si="7635">VOQ11*0.0425</f>
        <v>0</v>
      </c>
      <c r="VOS16" s="238">
        <f t="shared" ref="VOS16" si="7636">VOS11*0.0425</f>
        <v>0</v>
      </c>
      <c r="VOU16" s="238">
        <f t="shared" ref="VOU16" si="7637">VOU11*0.0425</f>
        <v>0</v>
      </c>
      <c r="VOW16" s="238">
        <f t="shared" ref="VOW16" si="7638">VOW11*0.0425</f>
        <v>0</v>
      </c>
      <c r="VOY16" s="238">
        <f t="shared" ref="VOY16" si="7639">VOY11*0.0425</f>
        <v>0</v>
      </c>
      <c r="VPA16" s="238">
        <f t="shared" ref="VPA16" si="7640">VPA11*0.0425</f>
        <v>0</v>
      </c>
      <c r="VPC16" s="238">
        <f t="shared" ref="VPC16" si="7641">VPC11*0.0425</f>
        <v>0</v>
      </c>
      <c r="VPE16" s="238">
        <f t="shared" ref="VPE16" si="7642">VPE11*0.0425</f>
        <v>0</v>
      </c>
      <c r="VPG16" s="238">
        <f t="shared" ref="VPG16" si="7643">VPG11*0.0425</f>
        <v>0</v>
      </c>
      <c r="VPI16" s="238">
        <f t="shared" ref="VPI16" si="7644">VPI11*0.0425</f>
        <v>0</v>
      </c>
      <c r="VPK16" s="238">
        <f t="shared" ref="VPK16" si="7645">VPK11*0.0425</f>
        <v>0</v>
      </c>
      <c r="VPM16" s="238">
        <f t="shared" ref="VPM16" si="7646">VPM11*0.0425</f>
        <v>0</v>
      </c>
      <c r="VPO16" s="238">
        <f t="shared" ref="VPO16" si="7647">VPO11*0.0425</f>
        <v>0</v>
      </c>
      <c r="VPQ16" s="238">
        <f t="shared" ref="VPQ16" si="7648">VPQ11*0.0425</f>
        <v>0</v>
      </c>
      <c r="VPS16" s="238">
        <f t="shared" ref="VPS16" si="7649">VPS11*0.0425</f>
        <v>0</v>
      </c>
      <c r="VPU16" s="238">
        <f t="shared" ref="VPU16" si="7650">VPU11*0.0425</f>
        <v>0</v>
      </c>
      <c r="VPW16" s="238">
        <f t="shared" ref="VPW16" si="7651">VPW11*0.0425</f>
        <v>0</v>
      </c>
      <c r="VPY16" s="238">
        <f t="shared" ref="VPY16" si="7652">VPY11*0.0425</f>
        <v>0</v>
      </c>
      <c r="VQA16" s="238">
        <f t="shared" ref="VQA16" si="7653">VQA11*0.0425</f>
        <v>0</v>
      </c>
      <c r="VQC16" s="238">
        <f t="shared" ref="VQC16" si="7654">VQC11*0.0425</f>
        <v>0</v>
      </c>
      <c r="VQE16" s="238">
        <f t="shared" ref="VQE16" si="7655">VQE11*0.0425</f>
        <v>0</v>
      </c>
      <c r="VQG16" s="238">
        <f t="shared" ref="VQG16" si="7656">VQG11*0.0425</f>
        <v>0</v>
      </c>
      <c r="VQI16" s="238">
        <f t="shared" ref="VQI16" si="7657">VQI11*0.0425</f>
        <v>0</v>
      </c>
      <c r="VQK16" s="238">
        <f t="shared" ref="VQK16" si="7658">VQK11*0.0425</f>
        <v>0</v>
      </c>
      <c r="VQM16" s="238">
        <f t="shared" ref="VQM16" si="7659">VQM11*0.0425</f>
        <v>0</v>
      </c>
      <c r="VQO16" s="238">
        <f t="shared" ref="VQO16" si="7660">VQO11*0.0425</f>
        <v>0</v>
      </c>
      <c r="VQQ16" s="238">
        <f t="shared" ref="VQQ16" si="7661">VQQ11*0.0425</f>
        <v>0</v>
      </c>
      <c r="VQS16" s="238">
        <f t="shared" ref="VQS16" si="7662">VQS11*0.0425</f>
        <v>0</v>
      </c>
      <c r="VQU16" s="238">
        <f t="shared" ref="VQU16" si="7663">VQU11*0.0425</f>
        <v>0</v>
      </c>
      <c r="VQW16" s="238">
        <f t="shared" ref="VQW16" si="7664">VQW11*0.0425</f>
        <v>0</v>
      </c>
      <c r="VQY16" s="238">
        <f t="shared" ref="VQY16" si="7665">VQY11*0.0425</f>
        <v>0</v>
      </c>
      <c r="VRA16" s="238">
        <f t="shared" ref="VRA16" si="7666">VRA11*0.0425</f>
        <v>0</v>
      </c>
      <c r="VRC16" s="238">
        <f t="shared" ref="VRC16" si="7667">VRC11*0.0425</f>
        <v>0</v>
      </c>
      <c r="VRE16" s="238">
        <f t="shared" ref="VRE16" si="7668">VRE11*0.0425</f>
        <v>0</v>
      </c>
      <c r="VRG16" s="238">
        <f t="shared" ref="VRG16" si="7669">VRG11*0.0425</f>
        <v>0</v>
      </c>
      <c r="VRI16" s="238">
        <f t="shared" ref="VRI16" si="7670">VRI11*0.0425</f>
        <v>0</v>
      </c>
      <c r="VRK16" s="238">
        <f t="shared" ref="VRK16" si="7671">VRK11*0.0425</f>
        <v>0</v>
      </c>
      <c r="VRM16" s="238">
        <f t="shared" ref="VRM16" si="7672">VRM11*0.0425</f>
        <v>0</v>
      </c>
      <c r="VRO16" s="238">
        <f t="shared" ref="VRO16" si="7673">VRO11*0.0425</f>
        <v>0</v>
      </c>
      <c r="VRQ16" s="238">
        <f t="shared" ref="VRQ16" si="7674">VRQ11*0.0425</f>
        <v>0</v>
      </c>
      <c r="VRS16" s="238">
        <f t="shared" ref="VRS16" si="7675">VRS11*0.0425</f>
        <v>0</v>
      </c>
      <c r="VRU16" s="238">
        <f t="shared" ref="VRU16" si="7676">VRU11*0.0425</f>
        <v>0</v>
      </c>
      <c r="VRW16" s="238">
        <f t="shared" ref="VRW16" si="7677">VRW11*0.0425</f>
        <v>0</v>
      </c>
      <c r="VRY16" s="238">
        <f t="shared" ref="VRY16" si="7678">VRY11*0.0425</f>
        <v>0</v>
      </c>
      <c r="VSA16" s="238">
        <f t="shared" ref="VSA16" si="7679">VSA11*0.0425</f>
        <v>0</v>
      </c>
      <c r="VSC16" s="238">
        <f t="shared" ref="VSC16" si="7680">VSC11*0.0425</f>
        <v>0</v>
      </c>
      <c r="VSE16" s="238">
        <f t="shared" ref="VSE16" si="7681">VSE11*0.0425</f>
        <v>0</v>
      </c>
      <c r="VSG16" s="238">
        <f t="shared" ref="VSG16" si="7682">VSG11*0.0425</f>
        <v>0</v>
      </c>
      <c r="VSI16" s="238">
        <f t="shared" ref="VSI16" si="7683">VSI11*0.0425</f>
        <v>0</v>
      </c>
      <c r="VSK16" s="238">
        <f t="shared" ref="VSK16" si="7684">VSK11*0.0425</f>
        <v>0</v>
      </c>
      <c r="VSM16" s="238">
        <f t="shared" ref="VSM16" si="7685">VSM11*0.0425</f>
        <v>0</v>
      </c>
      <c r="VSO16" s="238">
        <f t="shared" ref="VSO16" si="7686">VSO11*0.0425</f>
        <v>0</v>
      </c>
      <c r="VSQ16" s="238">
        <f t="shared" ref="VSQ16" si="7687">VSQ11*0.0425</f>
        <v>0</v>
      </c>
      <c r="VSS16" s="238">
        <f t="shared" ref="VSS16" si="7688">VSS11*0.0425</f>
        <v>0</v>
      </c>
      <c r="VSU16" s="238">
        <f t="shared" ref="VSU16" si="7689">VSU11*0.0425</f>
        <v>0</v>
      </c>
      <c r="VSW16" s="238">
        <f t="shared" ref="VSW16" si="7690">VSW11*0.0425</f>
        <v>0</v>
      </c>
      <c r="VSY16" s="238">
        <f t="shared" ref="VSY16" si="7691">VSY11*0.0425</f>
        <v>0</v>
      </c>
      <c r="VTA16" s="238">
        <f t="shared" ref="VTA16" si="7692">VTA11*0.0425</f>
        <v>0</v>
      </c>
      <c r="VTC16" s="238">
        <f t="shared" ref="VTC16" si="7693">VTC11*0.0425</f>
        <v>0</v>
      </c>
      <c r="VTE16" s="238">
        <f t="shared" ref="VTE16" si="7694">VTE11*0.0425</f>
        <v>0</v>
      </c>
      <c r="VTG16" s="238">
        <f t="shared" ref="VTG16" si="7695">VTG11*0.0425</f>
        <v>0</v>
      </c>
      <c r="VTI16" s="238">
        <f t="shared" ref="VTI16" si="7696">VTI11*0.0425</f>
        <v>0</v>
      </c>
      <c r="VTK16" s="238">
        <f t="shared" ref="VTK16" si="7697">VTK11*0.0425</f>
        <v>0</v>
      </c>
      <c r="VTM16" s="238">
        <f t="shared" ref="VTM16" si="7698">VTM11*0.0425</f>
        <v>0</v>
      </c>
      <c r="VTO16" s="238">
        <f t="shared" ref="VTO16" si="7699">VTO11*0.0425</f>
        <v>0</v>
      </c>
      <c r="VTQ16" s="238">
        <f t="shared" ref="VTQ16" si="7700">VTQ11*0.0425</f>
        <v>0</v>
      </c>
      <c r="VTS16" s="238">
        <f t="shared" ref="VTS16" si="7701">VTS11*0.0425</f>
        <v>0</v>
      </c>
      <c r="VTU16" s="238">
        <f t="shared" ref="VTU16" si="7702">VTU11*0.0425</f>
        <v>0</v>
      </c>
      <c r="VTW16" s="238">
        <f t="shared" ref="VTW16" si="7703">VTW11*0.0425</f>
        <v>0</v>
      </c>
      <c r="VTY16" s="238">
        <f t="shared" ref="VTY16" si="7704">VTY11*0.0425</f>
        <v>0</v>
      </c>
      <c r="VUA16" s="238">
        <f t="shared" ref="VUA16" si="7705">VUA11*0.0425</f>
        <v>0</v>
      </c>
      <c r="VUC16" s="238">
        <f t="shared" ref="VUC16" si="7706">VUC11*0.0425</f>
        <v>0</v>
      </c>
      <c r="VUE16" s="238">
        <f t="shared" ref="VUE16" si="7707">VUE11*0.0425</f>
        <v>0</v>
      </c>
      <c r="VUG16" s="238">
        <f t="shared" ref="VUG16" si="7708">VUG11*0.0425</f>
        <v>0</v>
      </c>
      <c r="VUI16" s="238">
        <f t="shared" ref="VUI16" si="7709">VUI11*0.0425</f>
        <v>0</v>
      </c>
      <c r="VUK16" s="238">
        <f t="shared" ref="VUK16" si="7710">VUK11*0.0425</f>
        <v>0</v>
      </c>
      <c r="VUM16" s="238">
        <f t="shared" ref="VUM16" si="7711">VUM11*0.0425</f>
        <v>0</v>
      </c>
      <c r="VUO16" s="238">
        <f t="shared" ref="VUO16" si="7712">VUO11*0.0425</f>
        <v>0</v>
      </c>
      <c r="VUQ16" s="238">
        <f t="shared" ref="VUQ16" si="7713">VUQ11*0.0425</f>
        <v>0</v>
      </c>
      <c r="VUS16" s="238">
        <f t="shared" ref="VUS16" si="7714">VUS11*0.0425</f>
        <v>0</v>
      </c>
      <c r="VUU16" s="238">
        <f t="shared" ref="VUU16" si="7715">VUU11*0.0425</f>
        <v>0</v>
      </c>
      <c r="VUW16" s="238">
        <f t="shared" ref="VUW16" si="7716">VUW11*0.0425</f>
        <v>0</v>
      </c>
      <c r="VUY16" s="238">
        <f t="shared" ref="VUY16" si="7717">VUY11*0.0425</f>
        <v>0</v>
      </c>
      <c r="VVA16" s="238">
        <f t="shared" ref="VVA16" si="7718">VVA11*0.0425</f>
        <v>0</v>
      </c>
      <c r="VVC16" s="238">
        <f t="shared" ref="VVC16" si="7719">VVC11*0.0425</f>
        <v>0</v>
      </c>
      <c r="VVE16" s="238">
        <f t="shared" ref="VVE16" si="7720">VVE11*0.0425</f>
        <v>0</v>
      </c>
      <c r="VVG16" s="238">
        <f t="shared" ref="VVG16" si="7721">VVG11*0.0425</f>
        <v>0</v>
      </c>
      <c r="VVI16" s="238">
        <f t="shared" ref="VVI16" si="7722">VVI11*0.0425</f>
        <v>0</v>
      </c>
      <c r="VVK16" s="238">
        <f t="shared" ref="VVK16" si="7723">VVK11*0.0425</f>
        <v>0</v>
      </c>
      <c r="VVM16" s="238">
        <f t="shared" ref="VVM16" si="7724">VVM11*0.0425</f>
        <v>0</v>
      </c>
      <c r="VVO16" s="238">
        <f t="shared" ref="VVO16" si="7725">VVO11*0.0425</f>
        <v>0</v>
      </c>
      <c r="VVQ16" s="238">
        <f t="shared" ref="VVQ16" si="7726">VVQ11*0.0425</f>
        <v>0</v>
      </c>
      <c r="VVS16" s="238">
        <f t="shared" ref="VVS16" si="7727">VVS11*0.0425</f>
        <v>0</v>
      </c>
      <c r="VVU16" s="238">
        <f t="shared" ref="VVU16" si="7728">VVU11*0.0425</f>
        <v>0</v>
      </c>
      <c r="VVW16" s="238">
        <f t="shared" ref="VVW16" si="7729">VVW11*0.0425</f>
        <v>0</v>
      </c>
      <c r="VVY16" s="238">
        <f t="shared" ref="VVY16" si="7730">VVY11*0.0425</f>
        <v>0</v>
      </c>
      <c r="VWA16" s="238">
        <f t="shared" ref="VWA16" si="7731">VWA11*0.0425</f>
        <v>0</v>
      </c>
      <c r="VWC16" s="238">
        <f t="shared" ref="VWC16" si="7732">VWC11*0.0425</f>
        <v>0</v>
      </c>
      <c r="VWE16" s="238">
        <f t="shared" ref="VWE16" si="7733">VWE11*0.0425</f>
        <v>0</v>
      </c>
      <c r="VWG16" s="238">
        <f t="shared" ref="VWG16" si="7734">VWG11*0.0425</f>
        <v>0</v>
      </c>
      <c r="VWI16" s="238">
        <f t="shared" ref="VWI16" si="7735">VWI11*0.0425</f>
        <v>0</v>
      </c>
      <c r="VWK16" s="238">
        <f t="shared" ref="VWK16" si="7736">VWK11*0.0425</f>
        <v>0</v>
      </c>
      <c r="VWM16" s="238">
        <f t="shared" ref="VWM16" si="7737">VWM11*0.0425</f>
        <v>0</v>
      </c>
      <c r="VWO16" s="238">
        <f t="shared" ref="VWO16" si="7738">VWO11*0.0425</f>
        <v>0</v>
      </c>
      <c r="VWQ16" s="238">
        <f t="shared" ref="VWQ16" si="7739">VWQ11*0.0425</f>
        <v>0</v>
      </c>
      <c r="VWS16" s="238">
        <f t="shared" ref="VWS16" si="7740">VWS11*0.0425</f>
        <v>0</v>
      </c>
      <c r="VWU16" s="238">
        <f t="shared" ref="VWU16" si="7741">VWU11*0.0425</f>
        <v>0</v>
      </c>
      <c r="VWW16" s="238">
        <f t="shared" ref="VWW16" si="7742">VWW11*0.0425</f>
        <v>0</v>
      </c>
      <c r="VWY16" s="238">
        <f t="shared" ref="VWY16" si="7743">VWY11*0.0425</f>
        <v>0</v>
      </c>
      <c r="VXA16" s="238">
        <f t="shared" ref="VXA16" si="7744">VXA11*0.0425</f>
        <v>0</v>
      </c>
      <c r="VXC16" s="238">
        <f t="shared" ref="VXC16" si="7745">VXC11*0.0425</f>
        <v>0</v>
      </c>
      <c r="VXE16" s="238">
        <f t="shared" ref="VXE16" si="7746">VXE11*0.0425</f>
        <v>0</v>
      </c>
      <c r="VXG16" s="238">
        <f t="shared" ref="VXG16" si="7747">VXG11*0.0425</f>
        <v>0</v>
      </c>
      <c r="VXI16" s="238">
        <f t="shared" ref="VXI16" si="7748">VXI11*0.0425</f>
        <v>0</v>
      </c>
      <c r="VXK16" s="238">
        <f t="shared" ref="VXK16" si="7749">VXK11*0.0425</f>
        <v>0</v>
      </c>
      <c r="VXM16" s="238">
        <f t="shared" ref="VXM16" si="7750">VXM11*0.0425</f>
        <v>0</v>
      </c>
      <c r="VXO16" s="238">
        <f t="shared" ref="VXO16" si="7751">VXO11*0.0425</f>
        <v>0</v>
      </c>
      <c r="VXQ16" s="238">
        <f t="shared" ref="VXQ16" si="7752">VXQ11*0.0425</f>
        <v>0</v>
      </c>
      <c r="VXS16" s="238">
        <f t="shared" ref="VXS16" si="7753">VXS11*0.0425</f>
        <v>0</v>
      </c>
      <c r="VXU16" s="238">
        <f t="shared" ref="VXU16" si="7754">VXU11*0.0425</f>
        <v>0</v>
      </c>
      <c r="VXW16" s="238">
        <f t="shared" ref="VXW16" si="7755">VXW11*0.0425</f>
        <v>0</v>
      </c>
      <c r="VXY16" s="238">
        <f t="shared" ref="VXY16" si="7756">VXY11*0.0425</f>
        <v>0</v>
      </c>
      <c r="VYA16" s="238">
        <f t="shared" ref="VYA16" si="7757">VYA11*0.0425</f>
        <v>0</v>
      </c>
      <c r="VYC16" s="238">
        <f t="shared" ref="VYC16" si="7758">VYC11*0.0425</f>
        <v>0</v>
      </c>
      <c r="VYE16" s="238">
        <f t="shared" ref="VYE16" si="7759">VYE11*0.0425</f>
        <v>0</v>
      </c>
      <c r="VYG16" s="238">
        <f t="shared" ref="VYG16" si="7760">VYG11*0.0425</f>
        <v>0</v>
      </c>
      <c r="VYI16" s="238">
        <f t="shared" ref="VYI16" si="7761">VYI11*0.0425</f>
        <v>0</v>
      </c>
      <c r="VYK16" s="238">
        <f t="shared" ref="VYK16" si="7762">VYK11*0.0425</f>
        <v>0</v>
      </c>
      <c r="VYM16" s="238">
        <f t="shared" ref="VYM16" si="7763">VYM11*0.0425</f>
        <v>0</v>
      </c>
      <c r="VYO16" s="238">
        <f t="shared" ref="VYO16" si="7764">VYO11*0.0425</f>
        <v>0</v>
      </c>
      <c r="VYQ16" s="238">
        <f t="shared" ref="VYQ16" si="7765">VYQ11*0.0425</f>
        <v>0</v>
      </c>
      <c r="VYS16" s="238">
        <f t="shared" ref="VYS16" si="7766">VYS11*0.0425</f>
        <v>0</v>
      </c>
      <c r="VYU16" s="238">
        <f t="shared" ref="VYU16" si="7767">VYU11*0.0425</f>
        <v>0</v>
      </c>
      <c r="VYW16" s="238">
        <f t="shared" ref="VYW16" si="7768">VYW11*0.0425</f>
        <v>0</v>
      </c>
      <c r="VYY16" s="238">
        <f t="shared" ref="VYY16" si="7769">VYY11*0.0425</f>
        <v>0</v>
      </c>
      <c r="VZA16" s="238">
        <f t="shared" ref="VZA16" si="7770">VZA11*0.0425</f>
        <v>0</v>
      </c>
      <c r="VZC16" s="238">
        <f t="shared" ref="VZC16" si="7771">VZC11*0.0425</f>
        <v>0</v>
      </c>
      <c r="VZE16" s="238">
        <f t="shared" ref="VZE16" si="7772">VZE11*0.0425</f>
        <v>0</v>
      </c>
      <c r="VZG16" s="238">
        <f t="shared" ref="VZG16" si="7773">VZG11*0.0425</f>
        <v>0</v>
      </c>
      <c r="VZI16" s="238">
        <f t="shared" ref="VZI16" si="7774">VZI11*0.0425</f>
        <v>0</v>
      </c>
      <c r="VZK16" s="238">
        <f t="shared" ref="VZK16" si="7775">VZK11*0.0425</f>
        <v>0</v>
      </c>
      <c r="VZM16" s="238">
        <f t="shared" ref="VZM16" si="7776">VZM11*0.0425</f>
        <v>0</v>
      </c>
      <c r="VZO16" s="238">
        <f t="shared" ref="VZO16" si="7777">VZO11*0.0425</f>
        <v>0</v>
      </c>
      <c r="VZQ16" s="238">
        <f t="shared" ref="VZQ16" si="7778">VZQ11*0.0425</f>
        <v>0</v>
      </c>
      <c r="VZS16" s="238">
        <f t="shared" ref="VZS16" si="7779">VZS11*0.0425</f>
        <v>0</v>
      </c>
      <c r="VZU16" s="238">
        <f t="shared" ref="VZU16" si="7780">VZU11*0.0425</f>
        <v>0</v>
      </c>
      <c r="VZW16" s="238">
        <f t="shared" ref="VZW16" si="7781">VZW11*0.0425</f>
        <v>0</v>
      </c>
      <c r="VZY16" s="238">
        <f t="shared" ref="VZY16" si="7782">VZY11*0.0425</f>
        <v>0</v>
      </c>
      <c r="WAA16" s="238">
        <f t="shared" ref="WAA16" si="7783">WAA11*0.0425</f>
        <v>0</v>
      </c>
      <c r="WAC16" s="238">
        <f t="shared" ref="WAC16" si="7784">WAC11*0.0425</f>
        <v>0</v>
      </c>
      <c r="WAE16" s="238">
        <f t="shared" ref="WAE16" si="7785">WAE11*0.0425</f>
        <v>0</v>
      </c>
      <c r="WAG16" s="238">
        <f t="shared" ref="WAG16" si="7786">WAG11*0.0425</f>
        <v>0</v>
      </c>
      <c r="WAI16" s="238">
        <f t="shared" ref="WAI16" si="7787">WAI11*0.0425</f>
        <v>0</v>
      </c>
      <c r="WAK16" s="238">
        <f t="shared" ref="WAK16" si="7788">WAK11*0.0425</f>
        <v>0</v>
      </c>
      <c r="WAM16" s="238">
        <f t="shared" ref="WAM16" si="7789">WAM11*0.0425</f>
        <v>0</v>
      </c>
      <c r="WAO16" s="238">
        <f t="shared" ref="WAO16" si="7790">WAO11*0.0425</f>
        <v>0</v>
      </c>
      <c r="WAQ16" s="238">
        <f t="shared" ref="WAQ16" si="7791">WAQ11*0.0425</f>
        <v>0</v>
      </c>
      <c r="WAS16" s="238">
        <f t="shared" ref="WAS16" si="7792">WAS11*0.0425</f>
        <v>0</v>
      </c>
      <c r="WAU16" s="238">
        <f t="shared" ref="WAU16" si="7793">WAU11*0.0425</f>
        <v>0</v>
      </c>
      <c r="WAW16" s="238">
        <f t="shared" ref="WAW16" si="7794">WAW11*0.0425</f>
        <v>0</v>
      </c>
      <c r="WAY16" s="238">
        <f t="shared" ref="WAY16" si="7795">WAY11*0.0425</f>
        <v>0</v>
      </c>
      <c r="WBA16" s="238">
        <f t="shared" ref="WBA16" si="7796">WBA11*0.0425</f>
        <v>0</v>
      </c>
      <c r="WBC16" s="238">
        <f t="shared" ref="WBC16" si="7797">WBC11*0.0425</f>
        <v>0</v>
      </c>
      <c r="WBE16" s="238">
        <f t="shared" ref="WBE16" si="7798">WBE11*0.0425</f>
        <v>0</v>
      </c>
      <c r="WBG16" s="238">
        <f t="shared" ref="WBG16" si="7799">WBG11*0.0425</f>
        <v>0</v>
      </c>
      <c r="WBI16" s="238">
        <f t="shared" ref="WBI16" si="7800">WBI11*0.0425</f>
        <v>0</v>
      </c>
      <c r="WBK16" s="238">
        <f t="shared" ref="WBK16" si="7801">WBK11*0.0425</f>
        <v>0</v>
      </c>
      <c r="WBM16" s="238">
        <f t="shared" ref="WBM16" si="7802">WBM11*0.0425</f>
        <v>0</v>
      </c>
      <c r="WBO16" s="238">
        <f t="shared" ref="WBO16" si="7803">WBO11*0.0425</f>
        <v>0</v>
      </c>
      <c r="WBQ16" s="238">
        <f t="shared" ref="WBQ16" si="7804">WBQ11*0.0425</f>
        <v>0</v>
      </c>
      <c r="WBS16" s="238">
        <f t="shared" ref="WBS16" si="7805">WBS11*0.0425</f>
        <v>0</v>
      </c>
      <c r="WBU16" s="238">
        <f t="shared" ref="WBU16" si="7806">WBU11*0.0425</f>
        <v>0</v>
      </c>
      <c r="WBW16" s="238">
        <f t="shared" ref="WBW16" si="7807">WBW11*0.0425</f>
        <v>0</v>
      </c>
      <c r="WBY16" s="238">
        <f t="shared" ref="WBY16" si="7808">WBY11*0.0425</f>
        <v>0</v>
      </c>
      <c r="WCA16" s="238">
        <f t="shared" ref="WCA16" si="7809">WCA11*0.0425</f>
        <v>0</v>
      </c>
      <c r="WCC16" s="238">
        <f t="shared" ref="WCC16" si="7810">WCC11*0.0425</f>
        <v>0</v>
      </c>
      <c r="WCE16" s="238">
        <f t="shared" ref="WCE16" si="7811">WCE11*0.0425</f>
        <v>0</v>
      </c>
      <c r="WCG16" s="238">
        <f t="shared" ref="WCG16" si="7812">WCG11*0.0425</f>
        <v>0</v>
      </c>
      <c r="WCI16" s="238">
        <f t="shared" ref="WCI16" si="7813">WCI11*0.0425</f>
        <v>0</v>
      </c>
      <c r="WCK16" s="238">
        <f t="shared" ref="WCK16" si="7814">WCK11*0.0425</f>
        <v>0</v>
      </c>
      <c r="WCM16" s="238">
        <f t="shared" ref="WCM16" si="7815">WCM11*0.0425</f>
        <v>0</v>
      </c>
      <c r="WCO16" s="238">
        <f t="shared" ref="WCO16" si="7816">WCO11*0.0425</f>
        <v>0</v>
      </c>
      <c r="WCQ16" s="238">
        <f t="shared" ref="WCQ16" si="7817">WCQ11*0.0425</f>
        <v>0</v>
      </c>
      <c r="WCS16" s="238">
        <f t="shared" ref="WCS16" si="7818">WCS11*0.0425</f>
        <v>0</v>
      </c>
      <c r="WCU16" s="238">
        <f t="shared" ref="WCU16" si="7819">WCU11*0.0425</f>
        <v>0</v>
      </c>
      <c r="WCW16" s="238">
        <f t="shared" ref="WCW16" si="7820">WCW11*0.0425</f>
        <v>0</v>
      </c>
      <c r="WCY16" s="238">
        <f t="shared" ref="WCY16" si="7821">WCY11*0.0425</f>
        <v>0</v>
      </c>
      <c r="WDA16" s="238">
        <f t="shared" ref="WDA16" si="7822">WDA11*0.0425</f>
        <v>0</v>
      </c>
      <c r="WDC16" s="238">
        <f t="shared" ref="WDC16" si="7823">WDC11*0.0425</f>
        <v>0</v>
      </c>
      <c r="WDE16" s="238">
        <f t="shared" ref="WDE16" si="7824">WDE11*0.0425</f>
        <v>0</v>
      </c>
      <c r="WDG16" s="238">
        <f t="shared" ref="WDG16" si="7825">WDG11*0.0425</f>
        <v>0</v>
      </c>
      <c r="WDI16" s="238">
        <f t="shared" ref="WDI16" si="7826">WDI11*0.0425</f>
        <v>0</v>
      </c>
      <c r="WDK16" s="238">
        <f t="shared" ref="WDK16" si="7827">WDK11*0.0425</f>
        <v>0</v>
      </c>
      <c r="WDM16" s="238">
        <f t="shared" ref="WDM16" si="7828">WDM11*0.0425</f>
        <v>0</v>
      </c>
      <c r="WDO16" s="238">
        <f t="shared" ref="WDO16" si="7829">WDO11*0.0425</f>
        <v>0</v>
      </c>
      <c r="WDQ16" s="238">
        <f t="shared" ref="WDQ16" si="7830">WDQ11*0.0425</f>
        <v>0</v>
      </c>
      <c r="WDS16" s="238">
        <f t="shared" ref="WDS16" si="7831">WDS11*0.0425</f>
        <v>0</v>
      </c>
      <c r="WDU16" s="238">
        <f t="shared" ref="WDU16" si="7832">WDU11*0.0425</f>
        <v>0</v>
      </c>
      <c r="WDW16" s="238">
        <f t="shared" ref="WDW16" si="7833">WDW11*0.0425</f>
        <v>0</v>
      </c>
      <c r="WDY16" s="238">
        <f t="shared" ref="WDY16" si="7834">WDY11*0.0425</f>
        <v>0</v>
      </c>
      <c r="WEA16" s="238">
        <f t="shared" ref="WEA16" si="7835">WEA11*0.0425</f>
        <v>0</v>
      </c>
      <c r="WEC16" s="238">
        <f t="shared" ref="WEC16" si="7836">WEC11*0.0425</f>
        <v>0</v>
      </c>
      <c r="WEE16" s="238">
        <f t="shared" ref="WEE16" si="7837">WEE11*0.0425</f>
        <v>0</v>
      </c>
      <c r="WEG16" s="238">
        <f t="shared" ref="WEG16" si="7838">WEG11*0.0425</f>
        <v>0</v>
      </c>
      <c r="WEI16" s="238">
        <f t="shared" ref="WEI16" si="7839">WEI11*0.0425</f>
        <v>0</v>
      </c>
      <c r="WEK16" s="238">
        <f t="shared" ref="WEK16" si="7840">WEK11*0.0425</f>
        <v>0</v>
      </c>
      <c r="WEM16" s="238">
        <f t="shared" ref="WEM16" si="7841">WEM11*0.0425</f>
        <v>0</v>
      </c>
      <c r="WEO16" s="238">
        <f t="shared" ref="WEO16" si="7842">WEO11*0.0425</f>
        <v>0</v>
      </c>
      <c r="WEQ16" s="238">
        <f t="shared" ref="WEQ16" si="7843">WEQ11*0.0425</f>
        <v>0</v>
      </c>
      <c r="WES16" s="238">
        <f t="shared" ref="WES16" si="7844">WES11*0.0425</f>
        <v>0</v>
      </c>
      <c r="WEU16" s="238">
        <f t="shared" ref="WEU16" si="7845">WEU11*0.0425</f>
        <v>0</v>
      </c>
      <c r="WEW16" s="238">
        <f t="shared" ref="WEW16" si="7846">WEW11*0.0425</f>
        <v>0</v>
      </c>
      <c r="WEY16" s="238">
        <f t="shared" ref="WEY16" si="7847">WEY11*0.0425</f>
        <v>0</v>
      </c>
      <c r="WFA16" s="238">
        <f t="shared" ref="WFA16" si="7848">WFA11*0.0425</f>
        <v>0</v>
      </c>
      <c r="WFC16" s="238">
        <f t="shared" ref="WFC16" si="7849">WFC11*0.0425</f>
        <v>0</v>
      </c>
      <c r="WFE16" s="238">
        <f t="shared" ref="WFE16" si="7850">WFE11*0.0425</f>
        <v>0</v>
      </c>
      <c r="WFG16" s="238">
        <f t="shared" ref="WFG16" si="7851">WFG11*0.0425</f>
        <v>0</v>
      </c>
      <c r="WFI16" s="238">
        <f t="shared" ref="WFI16" si="7852">WFI11*0.0425</f>
        <v>0</v>
      </c>
      <c r="WFK16" s="238">
        <f t="shared" ref="WFK16" si="7853">WFK11*0.0425</f>
        <v>0</v>
      </c>
      <c r="WFM16" s="238">
        <f t="shared" ref="WFM16" si="7854">WFM11*0.0425</f>
        <v>0</v>
      </c>
      <c r="WFO16" s="238">
        <f t="shared" ref="WFO16" si="7855">WFO11*0.0425</f>
        <v>0</v>
      </c>
      <c r="WFQ16" s="238">
        <f t="shared" ref="WFQ16" si="7856">WFQ11*0.0425</f>
        <v>0</v>
      </c>
      <c r="WFS16" s="238">
        <f t="shared" ref="WFS16" si="7857">WFS11*0.0425</f>
        <v>0</v>
      </c>
      <c r="WFU16" s="238">
        <f t="shared" ref="WFU16" si="7858">WFU11*0.0425</f>
        <v>0</v>
      </c>
      <c r="WFW16" s="238">
        <f t="shared" ref="WFW16" si="7859">WFW11*0.0425</f>
        <v>0</v>
      </c>
      <c r="WFY16" s="238">
        <f t="shared" ref="WFY16" si="7860">WFY11*0.0425</f>
        <v>0</v>
      </c>
      <c r="WGA16" s="238">
        <f t="shared" ref="WGA16" si="7861">WGA11*0.0425</f>
        <v>0</v>
      </c>
      <c r="WGC16" s="238">
        <f t="shared" ref="WGC16" si="7862">WGC11*0.0425</f>
        <v>0</v>
      </c>
      <c r="WGE16" s="238">
        <f t="shared" ref="WGE16" si="7863">WGE11*0.0425</f>
        <v>0</v>
      </c>
      <c r="WGG16" s="238">
        <f t="shared" ref="WGG16" si="7864">WGG11*0.0425</f>
        <v>0</v>
      </c>
      <c r="WGI16" s="238">
        <f t="shared" ref="WGI16" si="7865">WGI11*0.0425</f>
        <v>0</v>
      </c>
      <c r="WGK16" s="238">
        <f t="shared" ref="WGK16" si="7866">WGK11*0.0425</f>
        <v>0</v>
      </c>
      <c r="WGM16" s="238">
        <f t="shared" ref="WGM16" si="7867">WGM11*0.0425</f>
        <v>0</v>
      </c>
      <c r="WGO16" s="238">
        <f t="shared" ref="WGO16" si="7868">WGO11*0.0425</f>
        <v>0</v>
      </c>
      <c r="WGQ16" s="238">
        <f t="shared" ref="WGQ16" si="7869">WGQ11*0.0425</f>
        <v>0</v>
      </c>
      <c r="WGS16" s="238">
        <f t="shared" ref="WGS16" si="7870">WGS11*0.0425</f>
        <v>0</v>
      </c>
      <c r="WGU16" s="238">
        <f t="shared" ref="WGU16" si="7871">WGU11*0.0425</f>
        <v>0</v>
      </c>
      <c r="WGW16" s="238">
        <f t="shared" ref="WGW16" si="7872">WGW11*0.0425</f>
        <v>0</v>
      </c>
      <c r="WGY16" s="238">
        <f t="shared" ref="WGY16" si="7873">WGY11*0.0425</f>
        <v>0</v>
      </c>
      <c r="WHA16" s="238">
        <f t="shared" ref="WHA16" si="7874">WHA11*0.0425</f>
        <v>0</v>
      </c>
      <c r="WHC16" s="238">
        <f t="shared" ref="WHC16" si="7875">WHC11*0.0425</f>
        <v>0</v>
      </c>
      <c r="WHE16" s="238">
        <f t="shared" ref="WHE16" si="7876">WHE11*0.0425</f>
        <v>0</v>
      </c>
      <c r="WHG16" s="238">
        <f t="shared" ref="WHG16" si="7877">WHG11*0.0425</f>
        <v>0</v>
      </c>
      <c r="WHI16" s="238">
        <f t="shared" ref="WHI16" si="7878">WHI11*0.0425</f>
        <v>0</v>
      </c>
      <c r="WHK16" s="238">
        <f t="shared" ref="WHK16" si="7879">WHK11*0.0425</f>
        <v>0</v>
      </c>
      <c r="WHM16" s="238">
        <f t="shared" ref="WHM16" si="7880">WHM11*0.0425</f>
        <v>0</v>
      </c>
      <c r="WHO16" s="238">
        <f t="shared" ref="WHO16" si="7881">WHO11*0.0425</f>
        <v>0</v>
      </c>
      <c r="WHQ16" s="238">
        <f t="shared" ref="WHQ16" si="7882">WHQ11*0.0425</f>
        <v>0</v>
      </c>
      <c r="WHS16" s="238">
        <f t="shared" ref="WHS16" si="7883">WHS11*0.0425</f>
        <v>0</v>
      </c>
      <c r="WHU16" s="238">
        <f t="shared" ref="WHU16" si="7884">WHU11*0.0425</f>
        <v>0</v>
      </c>
      <c r="WHW16" s="238">
        <f t="shared" ref="WHW16" si="7885">WHW11*0.0425</f>
        <v>0</v>
      </c>
      <c r="WHY16" s="238">
        <f t="shared" ref="WHY16" si="7886">WHY11*0.0425</f>
        <v>0</v>
      </c>
      <c r="WIA16" s="238">
        <f t="shared" ref="WIA16" si="7887">WIA11*0.0425</f>
        <v>0</v>
      </c>
      <c r="WIC16" s="238">
        <f t="shared" ref="WIC16" si="7888">WIC11*0.0425</f>
        <v>0</v>
      </c>
      <c r="WIE16" s="238">
        <f t="shared" ref="WIE16" si="7889">WIE11*0.0425</f>
        <v>0</v>
      </c>
      <c r="WIG16" s="238">
        <f t="shared" ref="WIG16" si="7890">WIG11*0.0425</f>
        <v>0</v>
      </c>
      <c r="WII16" s="238">
        <f t="shared" ref="WII16" si="7891">WII11*0.0425</f>
        <v>0</v>
      </c>
      <c r="WIK16" s="238">
        <f t="shared" ref="WIK16" si="7892">WIK11*0.0425</f>
        <v>0</v>
      </c>
      <c r="WIM16" s="238">
        <f t="shared" ref="WIM16" si="7893">WIM11*0.0425</f>
        <v>0</v>
      </c>
      <c r="WIO16" s="238">
        <f t="shared" ref="WIO16" si="7894">WIO11*0.0425</f>
        <v>0</v>
      </c>
      <c r="WIQ16" s="238">
        <f t="shared" ref="WIQ16" si="7895">WIQ11*0.0425</f>
        <v>0</v>
      </c>
      <c r="WIS16" s="238">
        <f t="shared" ref="WIS16" si="7896">WIS11*0.0425</f>
        <v>0</v>
      </c>
      <c r="WIU16" s="238">
        <f t="shared" ref="WIU16" si="7897">WIU11*0.0425</f>
        <v>0</v>
      </c>
      <c r="WIW16" s="238">
        <f t="shared" ref="WIW16" si="7898">WIW11*0.0425</f>
        <v>0</v>
      </c>
      <c r="WIY16" s="238">
        <f t="shared" ref="WIY16" si="7899">WIY11*0.0425</f>
        <v>0</v>
      </c>
      <c r="WJA16" s="238">
        <f t="shared" ref="WJA16" si="7900">WJA11*0.0425</f>
        <v>0</v>
      </c>
      <c r="WJC16" s="238">
        <f t="shared" ref="WJC16" si="7901">WJC11*0.0425</f>
        <v>0</v>
      </c>
      <c r="WJE16" s="238">
        <f t="shared" ref="WJE16" si="7902">WJE11*0.0425</f>
        <v>0</v>
      </c>
      <c r="WJG16" s="238">
        <f t="shared" ref="WJG16" si="7903">WJG11*0.0425</f>
        <v>0</v>
      </c>
      <c r="WJI16" s="238">
        <f t="shared" ref="WJI16" si="7904">WJI11*0.0425</f>
        <v>0</v>
      </c>
      <c r="WJK16" s="238">
        <f t="shared" ref="WJK16" si="7905">WJK11*0.0425</f>
        <v>0</v>
      </c>
      <c r="WJM16" s="238">
        <f t="shared" ref="WJM16" si="7906">WJM11*0.0425</f>
        <v>0</v>
      </c>
      <c r="WJO16" s="238">
        <f t="shared" ref="WJO16" si="7907">WJO11*0.0425</f>
        <v>0</v>
      </c>
      <c r="WJQ16" s="238">
        <f t="shared" ref="WJQ16" si="7908">WJQ11*0.0425</f>
        <v>0</v>
      </c>
      <c r="WJS16" s="238">
        <f t="shared" ref="WJS16" si="7909">WJS11*0.0425</f>
        <v>0</v>
      </c>
      <c r="WJU16" s="238">
        <f t="shared" ref="WJU16" si="7910">WJU11*0.0425</f>
        <v>0</v>
      </c>
      <c r="WJW16" s="238">
        <f t="shared" ref="WJW16" si="7911">WJW11*0.0425</f>
        <v>0</v>
      </c>
      <c r="WJY16" s="238">
        <f t="shared" ref="WJY16" si="7912">WJY11*0.0425</f>
        <v>0</v>
      </c>
      <c r="WKA16" s="238">
        <f t="shared" ref="WKA16" si="7913">WKA11*0.0425</f>
        <v>0</v>
      </c>
      <c r="WKC16" s="238">
        <f t="shared" ref="WKC16" si="7914">WKC11*0.0425</f>
        <v>0</v>
      </c>
      <c r="WKE16" s="238">
        <f t="shared" ref="WKE16" si="7915">WKE11*0.0425</f>
        <v>0</v>
      </c>
      <c r="WKG16" s="238">
        <f t="shared" ref="WKG16" si="7916">WKG11*0.0425</f>
        <v>0</v>
      </c>
      <c r="WKI16" s="238">
        <f t="shared" ref="WKI16" si="7917">WKI11*0.0425</f>
        <v>0</v>
      </c>
      <c r="WKK16" s="238">
        <f t="shared" ref="WKK16" si="7918">WKK11*0.0425</f>
        <v>0</v>
      </c>
      <c r="WKM16" s="238">
        <f t="shared" ref="WKM16" si="7919">WKM11*0.0425</f>
        <v>0</v>
      </c>
      <c r="WKO16" s="238">
        <f t="shared" ref="WKO16" si="7920">WKO11*0.0425</f>
        <v>0</v>
      </c>
      <c r="WKQ16" s="238">
        <f t="shared" ref="WKQ16" si="7921">WKQ11*0.0425</f>
        <v>0</v>
      </c>
      <c r="WKS16" s="238">
        <f t="shared" ref="WKS16" si="7922">WKS11*0.0425</f>
        <v>0</v>
      </c>
      <c r="WKU16" s="238">
        <f t="shared" ref="WKU16" si="7923">WKU11*0.0425</f>
        <v>0</v>
      </c>
      <c r="WKW16" s="238">
        <f t="shared" ref="WKW16" si="7924">WKW11*0.0425</f>
        <v>0</v>
      </c>
      <c r="WKY16" s="238">
        <f t="shared" ref="WKY16" si="7925">WKY11*0.0425</f>
        <v>0</v>
      </c>
      <c r="WLA16" s="238">
        <f t="shared" ref="WLA16" si="7926">WLA11*0.0425</f>
        <v>0</v>
      </c>
      <c r="WLC16" s="238">
        <f t="shared" ref="WLC16" si="7927">WLC11*0.0425</f>
        <v>0</v>
      </c>
      <c r="WLE16" s="238">
        <f t="shared" ref="WLE16" si="7928">WLE11*0.0425</f>
        <v>0</v>
      </c>
      <c r="WLG16" s="238">
        <f t="shared" ref="WLG16" si="7929">WLG11*0.0425</f>
        <v>0</v>
      </c>
      <c r="WLI16" s="238">
        <f t="shared" ref="WLI16" si="7930">WLI11*0.0425</f>
        <v>0</v>
      </c>
      <c r="WLK16" s="238">
        <f t="shared" ref="WLK16" si="7931">WLK11*0.0425</f>
        <v>0</v>
      </c>
      <c r="WLM16" s="238">
        <f t="shared" ref="WLM16" si="7932">WLM11*0.0425</f>
        <v>0</v>
      </c>
      <c r="WLO16" s="238">
        <f t="shared" ref="WLO16" si="7933">WLO11*0.0425</f>
        <v>0</v>
      </c>
      <c r="WLQ16" s="238">
        <f t="shared" ref="WLQ16" si="7934">WLQ11*0.0425</f>
        <v>0</v>
      </c>
      <c r="WLS16" s="238">
        <f t="shared" ref="WLS16" si="7935">WLS11*0.0425</f>
        <v>0</v>
      </c>
      <c r="WLU16" s="238">
        <f t="shared" ref="WLU16" si="7936">WLU11*0.0425</f>
        <v>0</v>
      </c>
      <c r="WLW16" s="238">
        <f t="shared" ref="WLW16" si="7937">WLW11*0.0425</f>
        <v>0</v>
      </c>
      <c r="WLY16" s="238">
        <f t="shared" ref="WLY16" si="7938">WLY11*0.0425</f>
        <v>0</v>
      </c>
      <c r="WMA16" s="238">
        <f t="shared" ref="WMA16" si="7939">WMA11*0.0425</f>
        <v>0</v>
      </c>
      <c r="WMC16" s="238">
        <f t="shared" ref="WMC16" si="7940">WMC11*0.0425</f>
        <v>0</v>
      </c>
      <c r="WME16" s="238">
        <f t="shared" ref="WME16" si="7941">WME11*0.0425</f>
        <v>0</v>
      </c>
      <c r="WMG16" s="238">
        <f t="shared" ref="WMG16" si="7942">WMG11*0.0425</f>
        <v>0</v>
      </c>
      <c r="WMI16" s="238">
        <f t="shared" ref="WMI16" si="7943">WMI11*0.0425</f>
        <v>0</v>
      </c>
      <c r="WMK16" s="238">
        <f t="shared" ref="WMK16" si="7944">WMK11*0.0425</f>
        <v>0</v>
      </c>
      <c r="WMM16" s="238">
        <f t="shared" ref="WMM16" si="7945">WMM11*0.0425</f>
        <v>0</v>
      </c>
      <c r="WMO16" s="238">
        <f t="shared" ref="WMO16" si="7946">WMO11*0.0425</f>
        <v>0</v>
      </c>
      <c r="WMQ16" s="238">
        <f t="shared" ref="WMQ16" si="7947">WMQ11*0.0425</f>
        <v>0</v>
      </c>
      <c r="WMS16" s="238">
        <f t="shared" ref="WMS16" si="7948">WMS11*0.0425</f>
        <v>0</v>
      </c>
      <c r="WMU16" s="238">
        <f t="shared" ref="WMU16" si="7949">WMU11*0.0425</f>
        <v>0</v>
      </c>
      <c r="WMW16" s="238">
        <f t="shared" ref="WMW16" si="7950">WMW11*0.0425</f>
        <v>0</v>
      </c>
      <c r="WMY16" s="238">
        <f t="shared" ref="WMY16" si="7951">WMY11*0.0425</f>
        <v>0</v>
      </c>
      <c r="WNA16" s="238">
        <f t="shared" ref="WNA16" si="7952">WNA11*0.0425</f>
        <v>0</v>
      </c>
      <c r="WNC16" s="238">
        <f t="shared" ref="WNC16" si="7953">WNC11*0.0425</f>
        <v>0</v>
      </c>
      <c r="WNE16" s="238">
        <f t="shared" ref="WNE16" si="7954">WNE11*0.0425</f>
        <v>0</v>
      </c>
      <c r="WNG16" s="238">
        <f t="shared" ref="WNG16" si="7955">WNG11*0.0425</f>
        <v>0</v>
      </c>
      <c r="WNI16" s="238">
        <f t="shared" ref="WNI16" si="7956">WNI11*0.0425</f>
        <v>0</v>
      </c>
      <c r="WNK16" s="238">
        <f t="shared" ref="WNK16" si="7957">WNK11*0.0425</f>
        <v>0</v>
      </c>
      <c r="WNM16" s="238">
        <f t="shared" ref="WNM16" si="7958">WNM11*0.0425</f>
        <v>0</v>
      </c>
      <c r="WNO16" s="238">
        <f t="shared" ref="WNO16" si="7959">WNO11*0.0425</f>
        <v>0</v>
      </c>
      <c r="WNQ16" s="238">
        <f t="shared" ref="WNQ16" si="7960">WNQ11*0.0425</f>
        <v>0</v>
      </c>
      <c r="WNS16" s="238">
        <f t="shared" ref="WNS16" si="7961">WNS11*0.0425</f>
        <v>0</v>
      </c>
      <c r="WNU16" s="238">
        <f t="shared" ref="WNU16" si="7962">WNU11*0.0425</f>
        <v>0</v>
      </c>
      <c r="WNW16" s="238">
        <f t="shared" ref="WNW16" si="7963">WNW11*0.0425</f>
        <v>0</v>
      </c>
      <c r="WNY16" s="238">
        <f t="shared" ref="WNY16" si="7964">WNY11*0.0425</f>
        <v>0</v>
      </c>
      <c r="WOA16" s="238">
        <f t="shared" ref="WOA16" si="7965">WOA11*0.0425</f>
        <v>0</v>
      </c>
      <c r="WOC16" s="238">
        <f t="shared" ref="WOC16" si="7966">WOC11*0.0425</f>
        <v>0</v>
      </c>
      <c r="WOE16" s="238">
        <f t="shared" ref="WOE16" si="7967">WOE11*0.0425</f>
        <v>0</v>
      </c>
      <c r="WOG16" s="238">
        <f t="shared" ref="WOG16" si="7968">WOG11*0.0425</f>
        <v>0</v>
      </c>
      <c r="WOI16" s="238">
        <f t="shared" ref="WOI16" si="7969">WOI11*0.0425</f>
        <v>0</v>
      </c>
      <c r="WOK16" s="238">
        <f t="shared" ref="WOK16" si="7970">WOK11*0.0425</f>
        <v>0</v>
      </c>
      <c r="WOM16" s="238">
        <f t="shared" ref="WOM16" si="7971">WOM11*0.0425</f>
        <v>0</v>
      </c>
      <c r="WOO16" s="238">
        <f t="shared" ref="WOO16" si="7972">WOO11*0.0425</f>
        <v>0</v>
      </c>
      <c r="WOQ16" s="238">
        <f t="shared" ref="WOQ16" si="7973">WOQ11*0.0425</f>
        <v>0</v>
      </c>
      <c r="WOS16" s="238">
        <f t="shared" ref="WOS16" si="7974">WOS11*0.0425</f>
        <v>0</v>
      </c>
      <c r="WOU16" s="238">
        <f t="shared" ref="WOU16" si="7975">WOU11*0.0425</f>
        <v>0</v>
      </c>
      <c r="WOW16" s="238">
        <f t="shared" ref="WOW16" si="7976">WOW11*0.0425</f>
        <v>0</v>
      </c>
      <c r="WOY16" s="238">
        <f t="shared" ref="WOY16" si="7977">WOY11*0.0425</f>
        <v>0</v>
      </c>
      <c r="WPA16" s="238">
        <f t="shared" ref="WPA16" si="7978">WPA11*0.0425</f>
        <v>0</v>
      </c>
      <c r="WPC16" s="238">
        <f t="shared" ref="WPC16" si="7979">WPC11*0.0425</f>
        <v>0</v>
      </c>
      <c r="WPE16" s="238">
        <f t="shared" ref="WPE16" si="7980">WPE11*0.0425</f>
        <v>0</v>
      </c>
      <c r="WPG16" s="238">
        <f t="shared" ref="WPG16" si="7981">WPG11*0.0425</f>
        <v>0</v>
      </c>
      <c r="WPI16" s="238">
        <f t="shared" ref="WPI16" si="7982">WPI11*0.0425</f>
        <v>0</v>
      </c>
      <c r="WPK16" s="238">
        <f t="shared" ref="WPK16" si="7983">WPK11*0.0425</f>
        <v>0</v>
      </c>
      <c r="WPM16" s="238">
        <f t="shared" ref="WPM16" si="7984">WPM11*0.0425</f>
        <v>0</v>
      </c>
      <c r="WPO16" s="238">
        <f t="shared" ref="WPO16" si="7985">WPO11*0.0425</f>
        <v>0</v>
      </c>
      <c r="WPQ16" s="238">
        <f t="shared" ref="WPQ16" si="7986">WPQ11*0.0425</f>
        <v>0</v>
      </c>
      <c r="WPS16" s="238">
        <f t="shared" ref="WPS16" si="7987">WPS11*0.0425</f>
        <v>0</v>
      </c>
      <c r="WPU16" s="238">
        <f t="shared" ref="WPU16" si="7988">WPU11*0.0425</f>
        <v>0</v>
      </c>
      <c r="WPW16" s="238">
        <f t="shared" ref="WPW16" si="7989">WPW11*0.0425</f>
        <v>0</v>
      </c>
      <c r="WPY16" s="238">
        <f t="shared" ref="WPY16" si="7990">WPY11*0.0425</f>
        <v>0</v>
      </c>
      <c r="WQA16" s="238">
        <f t="shared" ref="WQA16" si="7991">WQA11*0.0425</f>
        <v>0</v>
      </c>
      <c r="WQC16" s="238">
        <f t="shared" ref="WQC16" si="7992">WQC11*0.0425</f>
        <v>0</v>
      </c>
      <c r="WQE16" s="238">
        <f t="shared" ref="WQE16" si="7993">WQE11*0.0425</f>
        <v>0</v>
      </c>
      <c r="WQG16" s="238">
        <f t="shared" ref="WQG16" si="7994">WQG11*0.0425</f>
        <v>0</v>
      </c>
      <c r="WQI16" s="238">
        <f t="shared" ref="WQI16" si="7995">WQI11*0.0425</f>
        <v>0</v>
      </c>
      <c r="WQK16" s="238">
        <f t="shared" ref="WQK16" si="7996">WQK11*0.0425</f>
        <v>0</v>
      </c>
      <c r="WQM16" s="238">
        <f t="shared" ref="WQM16" si="7997">WQM11*0.0425</f>
        <v>0</v>
      </c>
      <c r="WQO16" s="238">
        <f t="shared" ref="WQO16" si="7998">WQO11*0.0425</f>
        <v>0</v>
      </c>
      <c r="WQQ16" s="238">
        <f t="shared" ref="WQQ16" si="7999">WQQ11*0.0425</f>
        <v>0</v>
      </c>
      <c r="WQS16" s="238">
        <f t="shared" ref="WQS16" si="8000">WQS11*0.0425</f>
        <v>0</v>
      </c>
      <c r="WQU16" s="238">
        <f t="shared" ref="WQU16" si="8001">WQU11*0.0425</f>
        <v>0</v>
      </c>
      <c r="WQW16" s="238">
        <f t="shared" ref="WQW16" si="8002">WQW11*0.0425</f>
        <v>0</v>
      </c>
      <c r="WQY16" s="238">
        <f t="shared" ref="WQY16" si="8003">WQY11*0.0425</f>
        <v>0</v>
      </c>
      <c r="WRA16" s="238">
        <f t="shared" ref="WRA16" si="8004">WRA11*0.0425</f>
        <v>0</v>
      </c>
      <c r="WRC16" s="238">
        <f t="shared" ref="WRC16" si="8005">WRC11*0.0425</f>
        <v>0</v>
      </c>
      <c r="WRE16" s="238">
        <f t="shared" ref="WRE16" si="8006">WRE11*0.0425</f>
        <v>0</v>
      </c>
      <c r="WRG16" s="238">
        <f t="shared" ref="WRG16" si="8007">WRG11*0.0425</f>
        <v>0</v>
      </c>
      <c r="WRI16" s="238">
        <f t="shared" ref="WRI16" si="8008">WRI11*0.0425</f>
        <v>0</v>
      </c>
      <c r="WRK16" s="238">
        <f t="shared" ref="WRK16" si="8009">WRK11*0.0425</f>
        <v>0</v>
      </c>
      <c r="WRM16" s="238">
        <f t="shared" ref="WRM16" si="8010">WRM11*0.0425</f>
        <v>0</v>
      </c>
      <c r="WRO16" s="238">
        <f t="shared" ref="WRO16" si="8011">WRO11*0.0425</f>
        <v>0</v>
      </c>
      <c r="WRQ16" s="238">
        <f t="shared" ref="WRQ16" si="8012">WRQ11*0.0425</f>
        <v>0</v>
      </c>
      <c r="WRS16" s="238">
        <f t="shared" ref="WRS16" si="8013">WRS11*0.0425</f>
        <v>0</v>
      </c>
      <c r="WRU16" s="238">
        <f t="shared" ref="WRU16" si="8014">WRU11*0.0425</f>
        <v>0</v>
      </c>
      <c r="WRW16" s="238">
        <f t="shared" ref="WRW16" si="8015">WRW11*0.0425</f>
        <v>0</v>
      </c>
      <c r="WRY16" s="238">
        <f t="shared" ref="WRY16" si="8016">WRY11*0.0425</f>
        <v>0</v>
      </c>
      <c r="WSA16" s="238">
        <f t="shared" ref="WSA16" si="8017">WSA11*0.0425</f>
        <v>0</v>
      </c>
      <c r="WSC16" s="238">
        <f t="shared" ref="WSC16" si="8018">WSC11*0.0425</f>
        <v>0</v>
      </c>
      <c r="WSE16" s="238">
        <f t="shared" ref="WSE16" si="8019">WSE11*0.0425</f>
        <v>0</v>
      </c>
      <c r="WSG16" s="238">
        <f t="shared" ref="WSG16" si="8020">WSG11*0.0425</f>
        <v>0</v>
      </c>
      <c r="WSI16" s="238">
        <f t="shared" ref="WSI16" si="8021">WSI11*0.0425</f>
        <v>0</v>
      </c>
      <c r="WSK16" s="238">
        <f t="shared" ref="WSK16" si="8022">WSK11*0.0425</f>
        <v>0</v>
      </c>
      <c r="WSM16" s="238">
        <f t="shared" ref="WSM16" si="8023">WSM11*0.0425</f>
        <v>0</v>
      </c>
      <c r="WSO16" s="238">
        <f t="shared" ref="WSO16" si="8024">WSO11*0.0425</f>
        <v>0</v>
      </c>
      <c r="WSQ16" s="238">
        <f t="shared" ref="WSQ16" si="8025">WSQ11*0.0425</f>
        <v>0</v>
      </c>
      <c r="WSS16" s="238">
        <f t="shared" ref="WSS16" si="8026">WSS11*0.0425</f>
        <v>0</v>
      </c>
      <c r="WSU16" s="238">
        <f t="shared" ref="WSU16" si="8027">WSU11*0.0425</f>
        <v>0</v>
      </c>
      <c r="WSW16" s="238">
        <f t="shared" ref="WSW16" si="8028">WSW11*0.0425</f>
        <v>0</v>
      </c>
      <c r="WSY16" s="238">
        <f t="shared" ref="WSY16" si="8029">WSY11*0.0425</f>
        <v>0</v>
      </c>
      <c r="WTA16" s="238">
        <f t="shared" ref="WTA16" si="8030">WTA11*0.0425</f>
        <v>0</v>
      </c>
      <c r="WTC16" s="238">
        <f t="shared" ref="WTC16" si="8031">WTC11*0.0425</f>
        <v>0</v>
      </c>
      <c r="WTE16" s="238">
        <f t="shared" ref="WTE16" si="8032">WTE11*0.0425</f>
        <v>0</v>
      </c>
      <c r="WTG16" s="238">
        <f t="shared" ref="WTG16" si="8033">WTG11*0.0425</f>
        <v>0</v>
      </c>
      <c r="WTI16" s="238">
        <f t="shared" ref="WTI16" si="8034">WTI11*0.0425</f>
        <v>0</v>
      </c>
      <c r="WTK16" s="238">
        <f t="shared" ref="WTK16" si="8035">WTK11*0.0425</f>
        <v>0</v>
      </c>
      <c r="WTM16" s="238">
        <f t="shared" ref="WTM16" si="8036">WTM11*0.0425</f>
        <v>0</v>
      </c>
      <c r="WTO16" s="238">
        <f t="shared" ref="WTO16" si="8037">WTO11*0.0425</f>
        <v>0</v>
      </c>
      <c r="WTQ16" s="238">
        <f t="shared" ref="WTQ16" si="8038">WTQ11*0.0425</f>
        <v>0</v>
      </c>
      <c r="WTS16" s="238">
        <f t="shared" ref="WTS16" si="8039">WTS11*0.0425</f>
        <v>0</v>
      </c>
      <c r="WTU16" s="238">
        <f t="shared" ref="WTU16" si="8040">WTU11*0.0425</f>
        <v>0</v>
      </c>
      <c r="WTW16" s="238">
        <f t="shared" ref="WTW16" si="8041">WTW11*0.0425</f>
        <v>0</v>
      </c>
      <c r="WTY16" s="238">
        <f t="shared" ref="WTY16" si="8042">WTY11*0.0425</f>
        <v>0</v>
      </c>
      <c r="WUA16" s="238">
        <f t="shared" ref="WUA16" si="8043">WUA11*0.0425</f>
        <v>0</v>
      </c>
      <c r="WUC16" s="238">
        <f t="shared" ref="WUC16" si="8044">WUC11*0.0425</f>
        <v>0</v>
      </c>
      <c r="WUE16" s="238">
        <f t="shared" ref="WUE16" si="8045">WUE11*0.0425</f>
        <v>0</v>
      </c>
      <c r="WUG16" s="238">
        <f t="shared" ref="WUG16" si="8046">WUG11*0.0425</f>
        <v>0</v>
      </c>
      <c r="WUI16" s="238">
        <f t="shared" ref="WUI16" si="8047">WUI11*0.0425</f>
        <v>0</v>
      </c>
      <c r="WUK16" s="238">
        <f t="shared" ref="WUK16" si="8048">WUK11*0.0425</f>
        <v>0</v>
      </c>
      <c r="WUM16" s="238">
        <f t="shared" ref="WUM16" si="8049">WUM11*0.0425</f>
        <v>0</v>
      </c>
      <c r="WUO16" s="238">
        <f t="shared" ref="WUO16" si="8050">WUO11*0.0425</f>
        <v>0</v>
      </c>
      <c r="WUQ16" s="238">
        <f t="shared" ref="WUQ16" si="8051">WUQ11*0.0425</f>
        <v>0</v>
      </c>
      <c r="WUS16" s="238">
        <f t="shared" ref="WUS16" si="8052">WUS11*0.0425</f>
        <v>0</v>
      </c>
      <c r="WUU16" s="238">
        <f t="shared" ref="WUU16" si="8053">WUU11*0.0425</f>
        <v>0</v>
      </c>
      <c r="WUW16" s="238">
        <f t="shared" ref="WUW16" si="8054">WUW11*0.0425</f>
        <v>0</v>
      </c>
      <c r="WUY16" s="238">
        <f t="shared" ref="WUY16" si="8055">WUY11*0.0425</f>
        <v>0</v>
      </c>
      <c r="WVA16" s="238">
        <f t="shared" ref="WVA16" si="8056">WVA11*0.0425</f>
        <v>0</v>
      </c>
      <c r="WVC16" s="238">
        <f t="shared" ref="WVC16" si="8057">WVC11*0.0425</f>
        <v>0</v>
      </c>
      <c r="WVE16" s="238">
        <f t="shared" ref="WVE16" si="8058">WVE11*0.0425</f>
        <v>0</v>
      </c>
      <c r="WVG16" s="238">
        <f t="shared" ref="WVG16" si="8059">WVG11*0.0425</f>
        <v>0</v>
      </c>
      <c r="WVI16" s="238">
        <f t="shared" ref="WVI16" si="8060">WVI11*0.0425</f>
        <v>0</v>
      </c>
      <c r="WVK16" s="238">
        <f t="shared" ref="WVK16" si="8061">WVK11*0.0425</f>
        <v>0</v>
      </c>
      <c r="WVM16" s="238">
        <f t="shared" ref="WVM16" si="8062">WVM11*0.0425</f>
        <v>0</v>
      </c>
      <c r="WVO16" s="238">
        <f t="shared" ref="WVO16" si="8063">WVO11*0.0425</f>
        <v>0</v>
      </c>
      <c r="WVQ16" s="238">
        <f t="shared" ref="WVQ16" si="8064">WVQ11*0.0425</f>
        <v>0</v>
      </c>
      <c r="WVS16" s="238">
        <f t="shared" ref="WVS16" si="8065">WVS11*0.0425</f>
        <v>0</v>
      </c>
      <c r="WVU16" s="238">
        <f t="shared" ref="WVU16" si="8066">WVU11*0.0425</f>
        <v>0</v>
      </c>
      <c r="WVW16" s="238">
        <f t="shared" ref="WVW16" si="8067">WVW11*0.0425</f>
        <v>0</v>
      </c>
      <c r="WVY16" s="238">
        <f t="shared" ref="WVY16" si="8068">WVY11*0.0425</f>
        <v>0</v>
      </c>
      <c r="WWA16" s="238">
        <f t="shared" ref="WWA16" si="8069">WWA11*0.0425</f>
        <v>0</v>
      </c>
      <c r="WWC16" s="238">
        <f t="shared" ref="WWC16" si="8070">WWC11*0.0425</f>
        <v>0</v>
      </c>
      <c r="WWE16" s="238">
        <f t="shared" ref="WWE16" si="8071">WWE11*0.0425</f>
        <v>0</v>
      </c>
      <c r="WWG16" s="238">
        <f t="shared" ref="WWG16" si="8072">WWG11*0.0425</f>
        <v>0</v>
      </c>
      <c r="WWI16" s="238">
        <f t="shared" ref="WWI16" si="8073">WWI11*0.0425</f>
        <v>0</v>
      </c>
      <c r="WWK16" s="238">
        <f t="shared" ref="WWK16" si="8074">WWK11*0.0425</f>
        <v>0</v>
      </c>
      <c r="WWM16" s="238">
        <f t="shared" ref="WWM16" si="8075">WWM11*0.0425</f>
        <v>0</v>
      </c>
      <c r="WWO16" s="238">
        <f t="shared" ref="WWO16" si="8076">WWO11*0.0425</f>
        <v>0</v>
      </c>
      <c r="WWQ16" s="238">
        <f t="shared" ref="WWQ16" si="8077">WWQ11*0.0425</f>
        <v>0</v>
      </c>
      <c r="WWS16" s="238">
        <f t="shared" ref="WWS16" si="8078">WWS11*0.0425</f>
        <v>0</v>
      </c>
      <c r="WWU16" s="238">
        <f t="shared" ref="WWU16" si="8079">WWU11*0.0425</f>
        <v>0</v>
      </c>
      <c r="WWW16" s="238">
        <f t="shared" ref="WWW16" si="8080">WWW11*0.0425</f>
        <v>0</v>
      </c>
      <c r="WWY16" s="238">
        <f t="shared" ref="WWY16" si="8081">WWY11*0.0425</f>
        <v>0</v>
      </c>
      <c r="WXA16" s="238">
        <f t="shared" ref="WXA16" si="8082">WXA11*0.0425</f>
        <v>0</v>
      </c>
      <c r="WXC16" s="238">
        <f t="shared" ref="WXC16" si="8083">WXC11*0.0425</f>
        <v>0</v>
      </c>
      <c r="WXE16" s="238">
        <f t="shared" ref="WXE16" si="8084">WXE11*0.0425</f>
        <v>0</v>
      </c>
      <c r="WXG16" s="238">
        <f t="shared" ref="WXG16" si="8085">WXG11*0.0425</f>
        <v>0</v>
      </c>
      <c r="WXI16" s="238">
        <f t="shared" ref="WXI16" si="8086">WXI11*0.0425</f>
        <v>0</v>
      </c>
      <c r="WXK16" s="238">
        <f t="shared" ref="WXK16" si="8087">WXK11*0.0425</f>
        <v>0</v>
      </c>
      <c r="WXM16" s="238">
        <f t="shared" ref="WXM16" si="8088">WXM11*0.0425</f>
        <v>0</v>
      </c>
      <c r="WXO16" s="238">
        <f t="shared" ref="WXO16" si="8089">WXO11*0.0425</f>
        <v>0</v>
      </c>
      <c r="WXQ16" s="238">
        <f t="shared" ref="WXQ16" si="8090">WXQ11*0.0425</f>
        <v>0</v>
      </c>
      <c r="WXS16" s="238">
        <f t="shared" ref="WXS16" si="8091">WXS11*0.0425</f>
        <v>0</v>
      </c>
      <c r="WXU16" s="238">
        <f t="shared" ref="WXU16" si="8092">WXU11*0.0425</f>
        <v>0</v>
      </c>
      <c r="WXW16" s="238">
        <f t="shared" ref="WXW16" si="8093">WXW11*0.0425</f>
        <v>0</v>
      </c>
      <c r="WXY16" s="238">
        <f t="shared" ref="WXY16" si="8094">WXY11*0.0425</f>
        <v>0</v>
      </c>
      <c r="WYA16" s="238">
        <f t="shared" ref="WYA16" si="8095">WYA11*0.0425</f>
        <v>0</v>
      </c>
      <c r="WYC16" s="238">
        <f t="shared" ref="WYC16" si="8096">WYC11*0.0425</f>
        <v>0</v>
      </c>
      <c r="WYE16" s="238">
        <f t="shared" ref="WYE16" si="8097">WYE11*0.0425</f>
        <v>0</v>
      </c>
      <c r="WYG16" s="238">
        <f t="shared" ref="WYG16" si="8098">WYG11*0.0425</f>
        <v>0</v>
      </c>
      <c r="WYI16" s="238">
        <f t="shared" ref="WYI16" si="8099">WYI11*0.0425</f>
        <v>0</v>
      </c>
      <c r="WYK16" s="238">
        <f t="shared" ref="WYK16" si="8100">WYK11*0.0425</f>
        <v>0</v>
      </c>
      <c r="WYM16" s="238">
        <f t="shared" ref="WYM16" si="8101">WYM11*0.0425</f>
        <v>0</v>
      </c>
      <c r="WYO16" s="238">
        <f t="shared" ref="WYO16" si="8102">WYO11*0.0425</f>
        <v>0</v>
      </c>
      <c r="WYQ16" s="238">
        <f t="shared" ref="WYQ16" si="8103">WYQ11*0.0425</f>
        <v>0</v>
      </c>
      <c r="WYS16" s="238">
        <f t="shared" ref="WYS16" si="8104">WYS11*0.0425</f>
        <v>0</v>
      </c>
      <c r="WYU16" s="238">
        <f t="shared" ref="WYU16" si="8105">WYU11*0.0425</f>
        <v>0</v>
      </c>
      <c r="WYW16" s="238">
        <f t="shared" ref="WYW16" si="8106">WYW11*0.0425</f>
        <v>0</v>
      </c>
      <c r="WYY16" s="238">
        <f t="shared" ref="WYY16" si="8107">WYY11*0.0425</f>
        <v>0</v>
      </c>
      <c r="WZA16" s="238">
        <f t="shared" ref="WZA16" si="8108">WZA11*0.0425</f>
        <v>0</v>
      </c>
      <c r="WZC16" s="238">
        <f t="shared" ref="WZC16" si="8109">WZC11*0.0425</f>
        <v>0</v>
      </c>
      <c r="WZE16" s="238">
        <f t="shared" ref="WZE16" si="8110">WZE11*0.0425</f>
        <v>0</v>
      </c>
      <c r="WZG16" s="238">
        <f t="shared" ref="WZG16" si="8111">WZG11*0.0425</f>
        <v>0</v>
      </c>
      <c r="WZI16" s="238">
        <f t="shared" ref="WZI16" si="8112">WZI11*0.0425</f>
        <v>0</v>
      </c>
      <c r="WZK16" s="238">
        <f t="shared" ref="WZK16" si="8113">WZK11*0.0425</f>
        <v>0</v>
      </c>
      <c r="WZM16" s="238">
        <f t="shared" ref="WZM16" si="8114">WZM11*0.0425</f>
        <v>0</v>
      </c>
      <c r="WZO16" s="238">
        <f t="shared" ref="WZO16" si="8115">WZO11*0.0425</f>
        <v>0</v>
      </c>
      <c r="WZQ16" s="238">
        <f t="shared" ref="WZQ16" si="8116">WZQ11*0.0425</f>
        <v>0</v>
      </c>
      <c r="WZS16" s="238">
        <f t="shared" ref="WZS16" si="8117">WZS11*0.0425</f>
        <v>0</v>
      </c>
      <c r="WZU16" s="238">
        <f t="shared" ref="WZU16" si="8118">WZU11*0.0425</f>
        <v>0</v>
      </c>
      <c r="WZW16" s="238">
        <f t="shared" ref="WZW16" si="8119">WZW11*0.0425</f>
        <v>0</v>
      </c>
      <c r="WZY16" s="238">
        <f t="shared" ref="WZY16" si="8120">WZY11*0.0425</f>
        <v>0</v>
      </c>
      <c r="XAA16" s="238">
        <f t="shared" ref="XAA16" si="8121">XAA11*0.0425</f>
        <v>0</v>
      </c>
      <c r="XAC16" s="238">
        <f t="shared" ref="XAC16" si="8122">XAC11*0.0425</f>
        <v>0</v>
      </c>
      <c r="XAE16" s="238">
        <f t="shared" ref="XAE16" si="8123">XAE11*0.0425</f>
        <v>0</v>
      </c>
      <c r="XAG16" s="238">
        <f t="shared" ref="XAG16" si="8124">XAG11*0.0425</f>
        <v>0</v>
      </c>
      <c r="XAI16" s="238">
        <f t="shared" ref="XAI16" si="8125">XAI11*0.0425</f>
        <v>0</v>
      </c>
      <c r="XAK16" s="238">
        <f t="shared" ref="XAK16" si="8126">XAK11*0.0425</f>
        <v>0</v>
      </c>
      <c r="XAM16" s="238">
        <f t="shared" ref="XAM16" si="8127">XAM11*0.0425</f>
        <v>0</v>
      </c>
      <c r="XAO16" s="238">
        <f t="shared" ref="XAO16" si="8128">XAO11*0.0425</f>
        <v>0</v>
      </c>
      <c r="XAQ16" s="238">
        <f t="shared" ref="XAQ16" si="8129">XAQ11*0.0425</f>
        <v>0</v>
      </c>
      <c r="XAS16" s="238">
        <f t="shared" ref="XAS16" si="8130">XAS11*0.0425</f>
        <v>0</v>
      </c>
      <c r="XAU16" s="238">
        <f t="shared" ref="XAU16" si="8131">XAU11*0.0425</f>
        <v>0</v>
      </c>
      <c r="XAW16" s="238">
        <f t="shared" ref="XAW16" si="8132">XAW11*0.0425</f>
        <v>0</v>
      </c>
      <c r="XAY16" s="238">
        <f t="shared" ref="XAY16" si="8133">XAY11*0.0425</f>
        <v>0</v>
      </c>
      <c r="XBA16" s="238">
        <f t="shared" ref="XBA16" si="8134">XBA11*0.0425</f>
        <v>0</v>
      </c>
      <c r="XBC16" s="238">
        <f t="shared" ref="XBC16" si="8135">XBC11*0.0425</f>
        <v>0</v>
      </c>
      <c r="XBE16" s="238">
        <f t="shared" ref="XBE16" si="8136">XBE11*0.0425</f>
        <v>0</v>
      </c>
      <c r="XBG16" s="238">
        <f t="shared" ref="XBG16" si="8137">XBG11*0.0425</f>
        <v>0</v>
      </c>
      <c r="XBI16" s="238">
        <f t="shared" ref="XBI16" si="8138">XBI11*0.0425</f>
        <v>0</v>
      </c>
      <c r="XBK16" s="238">
        <f t="shared" ref="XBK16" si="8139">XBK11*0.0425</f>
        <v>0</v>
      </c>
      <c r="XBM16" s="238">
        <f t="shared" ref="XBM16" si="8140">XBM11*0.0425</f>
        <v>0</v>
      </c>
      <c r="XBO16" s="238">
        <f t="shared" ref="XBO16" si="8141">XBO11*0.0425</f>
        <v>0</v>
      </c>
      <c r="XBQ16" s="238">
        <f t="shared" ref="XBQ16" si="8142">XBQ11*0.0425</f>
        <v>0</v>
      </c>
      <c r="XBS16" s="238">
        <f t="shared" ref="XBS16" si="8143">XBS11*0.0425</f>
        <v>0</v>
      </c>
      <c r="XBU16" s="238">
        <f t="shared" ref="XBU16" si="8144">XBU11*0.0425</f>
        <v>0</v>
      </c>
      <c r="XBW16" s="238">
        <f t="shared" ref="XBW16" si="8145">XBW11*0.0425</f>
        <v>0</v>
      </c>
      <c r="XBY16" s="238">
        <f t="shared" ref="XBY16" si="8146">XBY11*0.0425</f>
        <v>0</v>
      </c>
      <c r="XCA16" s="238">
        <f t="shared" ref="XCA16" si="8147">XCA11*0.0425</f>
        <v>0</v>
      </c>
      <c r="XCC16" s="238">
        <f t="shared" ref="XCC16" si="8148">XCC11*0.0425</f>
        <v>0</v>
      </c>
      <c r="XCE16" s="238">
        <f t="shared" ref="XCE16" si="8149">XCE11*0.0425</f>
        <v>0</v>
      </c>
      <c r="XCG16" s="238">
        <f t="shared" ref="XCG16" si="8150">XCG11*0.0425</f>
        <v>0</v>
      </c>
      <c r="XCI16" s="238">
        <f t="shared" ref="XCI16" si="8151">XCI11*0.0425</f>
        <v>0</v>
      </c>
      <c r="XCK16" s="238">
        <f t="shared" ref="XCK16" si="8152">XCK11*0.0425</f>
        <v>0</v>
      </c>
      <c r="XCM16" s="238">
        <f t="shared" ref="XCM16" si="8153">XCM11*0.0425</f>
        <v>0</v>
      </c>
      <c r="XCO16" s="238">
        <f t="shared" ref="XCO16" si="8154">XCO11*0.0425</f>
        <v>0</v>
      </c>
      <c r="XCQ16" s="238">
        <f t="shared" ref="XCQ16" si="8155">XCQ11*0.0425</f>
        <v>0</v>
      </c>
      <c r="XCS16" s="238">
        <f t="shared" ref="XCS16" si="8156">XCS11*0.0425</f>
        <v>0</v>
      </c>
      <c r="XCU16" s="238">
        <f t="shared" ref="XCU16" si="8157">XCU11*0.0425</f>
        <v>0</v>
      </c>
      <c r="XCW16" s="238">
        <f t="shared" ref="XCW16" si="8158">XCW11*0.0425</f>
        <v>0</v>
      </c>
      <c r="XCY16" s="238">
        <f t="shared" ref="XCY16" si="8159">XCY11*0.0425</f>
        <v>0</v>
      </c>
      <c r="XDA16" s="238">
        <f t="shared" ref="XDA16" si="8160">XDA11*0.0425</f>
        <v>0</v>
      </c>
      <c r="XDC16" s="238">
        <f t="shared" ref="XDC16" si="8161">XDC11*0.0425</f>
        <v>0</v>
      </c>
      <c r="XDE16" s="238">
        <f t="shared" ref="XDE16" si="8162">XDE11*0.0425</f>
        <v>0</v>
      </c>
      <c r="XDG16" s="238">
        <f t="shared" ref="XDG16" si="8163">XDG11*0.0425</f>
        <v>0</v>
      </c>
      <c r="XDI16" s="238">
        <f t="shared" ref="XDI16" si="8164">XDI11*0.0425</f>
        <v>0</v>
      </c>
      <c r="XDK16" s="238">
        <f t="shared" ref="XDK16" si="8165">XDK11*0.0425</f>
        <v>0</v>
      </c>
      <c r="XDM16" s="238">
        <f t="shared" ref="XDM16" si="8166">XDM11*0.0425</f>
        <v>0</v>
      </c>
      <c r="XDO16" s="238">
        <f t="shared" ref="XDO16" si="8167">XDO11*0.0425</f>
        <v>0</v>
      </c>
      <c r="XDQ16" s="238">
        <f t="shared" ref="XDQ16" si="8168">XDQ11*0.0425</f>
        <v>0</v>
      </c>
      <c r="XDS16" s="238">
        <f t="shared" ref="XDS16" si="8169">XDS11*0.0425</f>
        <v>0</v>
      </c>
      <c r="XDU16" s="238">
        <f t="shared" ref="XDU16" si="8170">XDU11*0.0425</f>
        <v>0</v>
      </c>
      <c r="XDW16" s="238">
        <f t="shared" ref="XDW16" si="8171">XDW11*0.0425</f>
        <v>0</v>
      </c>
      <c r="XDY16" s="238">
        <f t="shared" ref="XDY16" si="8172">XDY11*0.0425</f>
        <v>0</v>
      </c>
      <c r="XEA16" s="238">
        <f t="shared" ref="XEA16" si="8173">XEA11*0.0425</f>
        <v>0</v>
      </c>
      <c r="XEC16" s="238">
        <f t="shared" ref="XEC16" si="8174">XEC11*0.0425</f>
        <v>0</v>
      </c>
      <c r="XEE16" s="238">
        <f t="shared" ref="XEE16" si="8175">XEE11*0.0425</f>
        <v>0</v>
      </c>
      <c r="XEG16" s="238">
        <f t="shared" ref="XEG16" si="8176">XEG11*0.0425</f>
        <v>0</v>
      </c>
      <c r="XEI16" s="238">
        <f t="shared" ref="XEI16" si="8177">XEI11*0.0425</f>
        <v>0</v>
      </c>
      <c r="XEK16" s="238">
        <f t="shared" ref="XEK16" si="8178">XEK11*0.0425</f>
        <v>0</v>
      </c>
      <c r="XEM16" s="238">
        <f t="shared" ref="XEM16" si="8179">XEM11*0.0425</f>
        <v>0</v>
      </c>
      <c r="XEO16" s="238">
        <f t="shared" ref="XEO16" si="8180">XEO11*0.0425</f>
        <v>0</v>
      </c>
      <c r="XEQ16" s="238">
        <f t="shared" ref="XEQ16" si="8181">XEQ11*0.0425</f>
        <v>0</v>
      </c>
      <c r="XES16" s="238">
        <f t="shared" ref="XES16" si="8182">XES11*0.0425</f>
        <v>0</v>
      </c>
      <c r="XEU16" s="238">
        <f t="shared" ref="XEU16" si="8183">XEU11*0.0425</f>
        <v>0</v>
      </c>
      <c r="XEW16" s="238">
        <f t="shared" ref="XEW16" si="8184">XEW11*0.0425</f>
        <v>0</v>
      </c>
      <c r="XEY16" s="238">
        <f t="shared" ref="XEY16" si="8185">XEY11*0.0425</f>
        <v>0</v>
      </c>
      <c r="XFA16" s="238">
        <f t="shared" ref="XFA16" si="8186">XFA11*0.0425</f>
        <v>0</v>
      </c>
      <c r="XFC16" s="238">
        <f t="shared" ref="XFC16" si="8187">XFC11*0.0425</f>
        <v>0</v>
      </c>
    </row>
    <row r="17" spans="1:33" s="225" customFormat="1" ht="14.25">
      <c r="A17" s="225" t="s">
        <v>569</v>
      </c>
      <c r="C17" s="249"/>
      <c r="E17" s="238">
        <f>Application!W855</f>
        <v>127800</v>
      </c>
      <c r="F17" s="238"/>
      <c r="G17" s="238">
        <f t="shared" ref="G17:AG21" si="8188">E17*$C$14</f>
        <v>132273</v>
      </c>
      <c r="H17" s="238"/>
      <c r="I17" s="238">
        <f t="shared" si="8188"/>
        <v>136902.55499999999</v>
      </c>
      <c r="J17" s="238"/>
      <c r="K17" s="238">
        <f t="shared" si="8188"/>
        <v>141694.14442499998</v>
      </c>
      <c r="L17" s="238"/>
      <c r="M17" s="238">
        <f t="shared" si="8188"/>
        <v>146653.43947987497</v>
      </c>
      <c r="N17" s="238"/>
      <c r="O17" s="238">
        <f t="shared" si="8188"/>
        <v>151786.3098616706</v>
      </c>
      <c r="P17" s="238"/>
      <c r="Q17" s="238">
        <f t="shared" si="8188"/>
        <v>157098.83070682906</v>
      </c>
      <c r="R17" s="238"/>
      <c r="S17" s="238">
        <f t="shared" si="8188"/>
        <v>162597.28978156808</v>
      </c>
      <c r="T17" s="238"/>
      <c r="U17" s="238">
        <f t="shared" si="8188"/>
        <v>168288.19492392294</v>
      </c>
      <c r="V17" s="238"/>
      <c r="W17" s="238">
        <f t="shared" si="8188"/>
        <v>174178.28174626024</v>
      </c>
      <c r="X17" s="238"/>
      <c r="Y17" s="238">
        <f t="shared" si="8188"/>
        <v>180274.52160737934</v>
      </c>
      <c r="Z17" s="238"/>
      <c r="AA17" s="238">
        <f t="shared" si="8188"/>
        <v>186584.12986363762</v>
      </c>
      <c r="AB17" s="238"/>
      <c r="AC17" s="238">
        <f t="shared" si="8188"/>
        <v>193114.57440886492</v>
      </c>
      <c r="AD17" s="238"/>
      <c r="AE17" s="238">
        <f t="shared" si="8188"/>
        <v>199873.58451317518</v>
      </c>
      <c r="AF17" s="238"/>
      <c r="AG17" s="238">
        <f t="shared" si="8188"/>
        <v>206869.15997113631</v>
      </c>
    </row>
    <row r="18" spans="1:33" s="225" customFormat="1" ht="14.25">
      <c r="A18" s="225" t="s">
        <v>853</v>
      </c>
      <c r="C18" s="249"/>
      <c r="E18" s="238">
        <f>Application!W862</f>
        <v>166000</v>
      </c>
      <c r="F18" s="238"/>
      <c r="G18" s="238">
        <f t="shared" si="8188"/>
        <v>171810</v>
      </c>
      <c r="H18" s="238"/>
      <c r="I18" s="238">
        <f t="shared" si="8188"/>
        <v>177823.34999999998</v>
      </c>
      <c r="J18" s="238"/>
      <c r="K18" s="238">
        <f t="shared" si="8188"/>
        <v>184047.16724999997</v>
      </c>
      <c r="L18" s="238"/>
      <c r="M18" s="238">
        <f t="shared" si="8188"/>
        <v>190488.81810374995</v>
      </c>
      <c r="N18" s="238"/>
      <c r="O18" s="238">
        <f t="shared" si="8188"/>
        <v>197155.92673738117</v>
      </c>
      <c r="P18" s="238"/>
      <c r="Q18" s="238">
        <f t="shared" si="8188"/>
        <v>204056.38417318949</v>
      </c>
      <c r="R18" s="238"/>
      <c r="S18" s="238">
        <f t="shared" si="8188"/>
        <v>211198.3576192511</v>
      </c>
      <c r="T18" s="238"/>
      <c r="U18" s="238">
        <f t="shared" si="8188"/>
        <v>218590.30013592486</v>
      </c>
      <c r="V18" s="238"/>
      <c r="W18" s="238">
        <f t="shared" si="8188"/>
        <v>226240.9606406822</v>
      </c>
      <c r="X18" s="238"/>
      <c r="Y18" s="238">
        <f t="shared" si="8188"/>
        <v>234159.39426310605</v>
      </c>
      <c r="Z18" s="238"/>
      <c r="AA18" s="238">
        <f t="shared" si="8188"/>
        <v>242354.97306231473</v>
      </c>
      <c r="AB18" s="238"/>
      <c r="AC18" s="238">
        <f t="shared" si="8188"/>
        <v>250837.39711949573</v>
      </c>
      <c r="AD18" s="238"/>
      <c r="AE18" s="238">
        <f t="shared" si="8188"/>
        <v>259616.70601867806</v>
      </c>
      <c r="AF18" s="238"/>
      <c r="AG18" s="238">
        <f t="shared" si="8188"/>
        <v>268703.29072933178</v>
      </c>
    </row>
    <row r="19" spans="1:33" s="225" customFormat="1" ht="14.25">
      <c r="A19" s="225" t="s">
        <v>155</v>
      </c>
      <c r="C19" s="249"/>
      <c r="E19" s="238">
        <f>Application!W863</f>
        <v>112000</v>
      </c>
      <c r="F19" s="238"/>
      <c r="G19" s="238">
        <f t="shared" si="8188"/>
        <v>115919.99999999999</v>
      </c>
      <c r="H19" s="238"/>
      <c r="I19" s="238">
        <f t="shared" si="8188"/>
        <v>119977.19999999998</v>
      </c>
      <c r="J19" s="238"/>
      <c r="K19" s="238">
        <f t="shared" si="8188"/>
        <v>124176.40199999997</v>
      </c>
      <c r="L19" s="238"/>
      <c r="M19" s="238">
        <f t="shared" si="8188"/>
        <v>128522.57606999997</v>
      </c>
      <c r="N19" s="238"/>
      <c r="O19" s="238">
        <f t="shared" si="8188"/>
        <v>133020.86623244995</v>
      </c>
      <c r="P19" s="238"/>
      <c r="Q19" s="238">
        <f t="shared" si="8188"/>
        <v>137676.59655058567</v>
      </c>
      <c r="R19" s="238"/>
      <c r="S19" s="238">
        <f t="shared" si="8188"/>
        <v>142495.27742985616</v>
      </c>
      <c r="T19" s="238"/>
      <c r="U19" s="238">
        <f t="shared" si="8188"/>
        <v>147482.61213990112</v>
      </c>
      <c r="V19" s="238"/>
      <c r="W19" s="238">
        <f t="shared" si="8188"/>
        <v>152644.50356479763</v>
      </c>
      <c r="X19" s="238"/>
      <c r="Y19" s="238">
        <f t="shared" si="8188"/>
        <v>157987.06118956555</v>
      </c>
      <c r="Z19" s="238"/>
      <c r="AA19" s="238">
        <f t="shared" si="8188"/>
        <v>163516.60833120032</v>
      </c>
      <c r="AB19" s="238"/>
      <c r="AC19" s="238">
        <f t="shared" si="8188"/>
        <v>169239.68962279233</v>
      </c>
      <c r="AD19" s="238"/>
      <c r="AE19" s="238">
        <f t="shared" si="8188"/>
        <v>175163.07875959005</v>
      </c>
      <c r="AF19" s="238"/>
      <c r="AG19" s="238">
        <f t="shared" si="8188"/>
        <v>181293.78651617569</v>
      </c>
    </row>
    <row r="20" spans="1:33" s="225" customFormat="1" ht="14.25">
      <c r="A20" s="225" t="s">
        <v>390</v>
      </c>
      <c r="C20" s="249"/>
      <c r="E20" s="238">
        <f>Application!W872</f>
        <v>181530</v>
      </c>
      <c r="F20" s="238"/>
      <c r="G20" s="238">
        <f t="shared" si="8188"/>
        <v>187883.55</v>
      </c>
      <c r="H20" s="238"/>
      <c r="I20" s="238">
        <f t="shared" si="8188"/>
        <v>194459.47424999997</v>
      </c>
      <c r="J20" s="238"/>
      <c r="K20" s="238">
        <f t="shared" si="8188"/>
        <v>201265.55584874997</v>
      </c>
      <c r="L20" s="238"/>
      <c r="M20" s="238">
        <f t="shared" si="8188"/>
        <v>208309.85030345619</v>
      </c>
      <c r="N20" s="238"/>
      <c r="O20" s="238">
        <f t="shared" si="8188"/>
        <v>215600.69506407712</v>
      </c>
      <c r="P20" s="238"/>
      <c r="Q20" s="238">
        <f t="shared" si="8188"/>
        <v>223146.71939131981</v>
      </c>
      <c r="R20" s="238"/>
      <c r="S20" s="238">
        <f t="shared" si="8188"/>
        <v>230956.854570016</v>
      </c>
      <c r="T20" s="238"/>
      <c r="U20" s="238">
        <f t="shared" si="8188"/>
        <v>239040.34447996653</v>
      </c>
      <c r="V20" s="238"/>
      <c r="W20" s="238">
        <f t="shared" si="8188"/>
        <v>247406.75653676534</v>
      </c>
      <c r="X20" s="238"/>
      <c r="Y20" s="238">
        <f t="shared" si="8188"/>
        <v>256065.99301555211</v>
      </c>
      <c r="Z20" s="238"/>
      <c r="AA20" s="238">
        <f t="shared" si="8188"/>
        <v>265028.30277109641</v>
      </c>
      <c r="AB20" s="238"/>
      <c r="AC20" s="238">
        <f t="shared" si="8188"/>
        <v>274304.29336808476</v>
      </c>
      <c r="AD20" s="238"/>
      <c r="AE20" s="238">
        <f t="shared" si="8188"/>
        <v>283904.94363596773</v>
      </c>
      <c r="AF20" s="238"/>
      <c r="AG20" s="238">
        <f t="shared" si="8188"/>
        <v>293841.61666322657</v>
      </c>
    </row>
    <row r="21" spans="1:33" s="225" customFormat="1" ht="14.25">
      <c r="A21" s="242" t="s">
        <v>979</v>
      </c>
      <c r="B21" s="242"/>
      <c r="C21" s="249"/>
      <c r="E21" s="248">
        <f>Application!W879</f>
        <v>97800</v>
      </c>
      <c r="F21" s="238"/>
      <c r="G21" s="248">
        <f t="shared" si="8188"/>
        <v>101222.99999999999</v>
      </c>
      <c r="H21" s="238"/>
      <c r="I21" s="248">
        <f t="shared" si="8188"/>
        <v>104765.80499999998</v>
      </c>
      <c r="J21" s="238"/>
      <c r="K21" s="248">
        <f t="shared" si="8188"/>
        <v>108432.60817499997</v>
      </c>
      <c r="L21" s="238"/>
      <c r="M21" s="248">
        <f t="shared" si="8188"/>
        <v>112227.74946112496</v>
      </c>
      <c r="N21" s="238"/>
      <c r="O21" s="248">
        <f t="shared" si="8188"/>
        <v>116155.72069226432</v>
      </c>
      <c r="P21" s="238"/>
      <c r="Q21" s="248">
        <f t="shared" si="8188"/>
        <v>120221.17091649356</v>
      </c>
      <c r="R21" s="238"/>
      <c r="S21" s="248">
        <f t="shared" si="8188"/>
        <v>124428.91189857082</v>
      </c>
      <c r="T21" s="238"/>
      <c r="U21" s="248">
        <f t="shared" si="8188"/>
        <v>128783.92381502078</v>
      </c>
      <c r="V21" s="238"/>
      <c r="W21" s="248">
        <f t="shared" si="8188"/>
        <v>133291.36114854651</v>
      </c>
      <c r="X21" s="238"/>
      <c r="Y21" s="248">
        <f t="shared" si="8188"/>
        <v>137956.55878874563</v>
      </c>
      <c r="Z21" s="238"/>
      <c r="AA21" s="248">
        <f t="shared" si="8188"/>
        <v>142785.03834635174</v>
      </c>
      <c r="AB21" s="238"/>
      <c r="AC21" s="248">
        <f t="shared" si="8188"/>
        <v>147782.51468847404</v>
      </c>
      <c r="AD21" s="238"/>
      <c r="AE21" s="248">
        <f t="shared" si="8188"/>
        <v>152954.90270257063</v>
      </c>
      <c r="AF21" s="238"/>
      <c r="AG21" s="248">
        <f t="shared" si="8188"/>
        <v>158308.32429716058</v>
      </c>
    </row>
    <row r="22" spans="1:33" s="239" customFormat="1" ht="15">
      <c r="A22" s="239" t="s">
        <v>854</v>
      </c>
      <c r="C22" s="249"/>
      <c r="E22" s="239">
        <f>SUM(E15:E21)</f>
        <v>868632.13500000001</v>
      </c>
      <c r="G22" s="239">
        <f>SUM(G15:G21)</f>
        <v>897989.83837500005</v>
      </c>
      <c r="I22" s="239">
        <f>SUM(I15:I21)</f>
        <v>928348.95083437487</v>
      </c>
      <c r="K22" s="239">
        <f>SUM(K15:K21)</f>
        <v>959743.86893273413</v>
      </c>
      <c r="M22" s="239">
        <f>SUM(M15:M21)</f>
        <v>992210.17678501492</v>
      </c>
      <c r="O22" s="239">
        <f>SUM(O15:O21)</f>
        <v>1025784.6872231164</v>
      </c>
      <c r="Q22" s="239">
        <f>SUM(Q15:Q21)</f>
        <v>1060505.4843828171</v>
      </c>
      <c r="S22" s="239">
        <f>SUM(S15:S21)</f>
        <v>1096411.9677707795</v>
      </c>
      <c r="U22" s="239">
        <f>SUM(U15:U21)</f>
        <v>1133544.8978631848</v>
      </c>
      <c r="W22" s="239">
        <f>SUM(W15:W21)</f>
        <v>1171946.4432893351</v>
      </c>
      <c r="Y22" s="239">
        <f>SUM(Y15:Y21)</f>
        <v>1211660.2296554239</v>
      </c>
      <c r="AA22" s="239">
        <f>SUM(AA15:AA21)</f>
        <v>1252731.3900656002</v>
      </c>
      <c r="AC22" s="239">
        <f>SUM(AC15:AC21)</f>
        <v>1295206.6173994381</v>
      </c>
      <c r="AE22" s="239">
        <f>SUM(AE15:AE21)</f>
        <v>1339134.2184069993</v>
      </c>
      <c r="AG22" s="239">
        <f>SUM(AG15:AG21)</f>
        <v>1384564.1696847894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1865</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28200</v>
      </c>
      <c r="F27" s="238"/>
      <c r="G27" s="238">
        <f>E27*$C$27</f>
        <v>29186.999999999996</v>
      </c>
      <c r="H27" s="238"/>
      <c r="I27" s="238">
        <f>G27*$C$27</f>
        <v>30208.544999999995</v>
      </c>
      <c r="J27" s="238"/>
      <c r="K27" s="238">
        <f>I27*$C$27</f>
        <v>31265.844074999994</v>
      </c>
      <c r="L27" s="238"/>
      <c r="M27" s="238">
        <f>K27*$C$27</f>
        <v>32360.148617624989</v>
      </c>
      <c r="N27" s="238"/>
      <c r="O27" s="238">
        <f>M27*$C$27</f>
        <v>33492.753819241858</v>
      </c>
      <c r="P27" s="238"/>
      <c r="Q27" s="238">
        <f>O27*$C$27</f>
        <v>34665.000202915318</v>
      </c>
      <c r="R27" s="238"/>
      <c r="S27" s="238">
        <f>Q27*$C$27</f>
        <v>35878.275210017353</v>
      </c>
      <c r="T27" s="238"/>
      <c r="U27" s="238">
        <f>S27*$C$27</f>
        <v>37134.014842367957</v>
      </c>
      <c r="V27" s="238"/>
      <c r="W27" s="238">
        <f>U27*$C$27</f>
        <v>38433.705361850829</v>
      </c>
      <c r="X27" s="238"/>
      <c r="Y27" s="238">
        <f>W27*$C$27</f>
        <v>39778.885049515608</v>
      </c>
      <c r="Z27" s="238"/>
      <c r="AA27" s="238">
        <f>Y27*$C$27</f>
        <v>41171.146026248651</v>
      </c>
      <c r="AB27" s="238"/>
      <c r="AC27" s="238">
        <f>AA27*$C$27</f>
        <v>42612.136137167348</v>
      </c>
      <c r="AD27" s="238"/>
      <c r="AE27" s="238">
        <f>AC27*$C$27</f>
        <v>44103.560901968202</v>
      </c>
      <c r="AF27" s="238"/>
      <c r="AG27" s="238">
        <f>AE27*$C$27</f>
        <v>45647.185533537086</v>
      </c>
    </row>
    <row r="28" spans="1:33" s="225" customFormat="1" ht="14.25">
      <c r="A28" s="225" t="s">
        <v>857</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25">
      <c r="A29" s="225" t="s">
        <v>1863</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10533.06</v>
      </c>
      <c r="F30" s="238"/>
      <c r="G30" s="238">
        <f>E30*$C$30</f>
        <v>10743.7212</v>
      </c>
      <c r="H30" s="238"/>
      <c r="I30" s="238">
        <f>G30*$C$30</f>
        <v>10958.595624</v>
      </c>
      <c r="J30" s="238"/>
      <c r="K30" s="238">
        <f>I30*$C$30</f>
        <v>11177.76753648</v>
      </c>
      <c r="L30" s="238"/>
      <c r="M30" s="238">
        <f>K30*$C$30</f>
        <v>11401.322887209601</v>
      </c>
      <c r="N30" s="238"/>
      <c r="O30" s="238">
        <f>M30*$C$30</f>
        <v>11629.349344953793</v>
      </c>
      <c r="P30" s="238"/>
      <c r="Q30" s="238">
        <f>O30*$C$30</f>
        <v>11861.936331852869</v>
      </c>
      <c r="R30" s="238"/>
      <c r="S30" s="238">
        <f>Q30*$C$30</f>
        <v>12099.175058489926</v>
      </c>
      <c r="T30" s="238"/>
      <c r="U30" s="238">
        <f>S30*$C$30</f>
        <v>12341.158559659723</v>
      </c>
      <c r="V30" s="238"/>
      <c r="W30" s="238">
        <f>U30*$C$30</f>
        <v>12587.981730852918</v>
      </c>
      <c r="X30" s="238"/>
      <c r="Y30" s="238">
        <f>W30*$C$30</f>
        <v>12839.741365469978</v>
      </c>
      <c r="Z30" s="238"/>
      <c r="AA30" s="238">
        <f>Y30*$C$30</f>
        <v>13096.536192779377</v>
      </c>
      <c r="AB30" s="238"/>
      <c r="AC30" s="238">
        <f>AA30*$C$30</f>
        <v>13358.466916634965</v>
      </c>
      <c r="AD30" s="238"/>
      <c r="AE30" s="238">
        <f>AC30*$C$30</f>
        <v>13625.636254967665</v>
      </c>
      <c r="AF30" s="238"/>
      <c r="AG30" s="238">
        <f>AE30*$C$30</f>
        <v>13898.148980067019</v>
      </c>
    </row>
    <row r="31" spans="1:33" s="225" customFormat="1" ht="14.25">
      <c r="A31" s="225" t="s">
        <v>1864</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(Bond Issuer Fee):</v>
      </c>
      <c r="C32" s="340">
        <v>1</v>
      </c>
      <c r="E32" s="238">
        <f>Application!AC893</f>
        <v>11115</v>
      </c>
      <c r="F32" s="238"/>
      <c r="G32" s="238">
        <f>E32*$C$32</f>
        <v>11115</v>
      </c>
      <c r="H32" s="238"/>
      <c r="I32" s="238">
        <f>G32*$C$32</f>
        <v>11115</v>
      </c>
      <c r="J32" s="238"/>
      <c r="K32" s="238">
        <f>I32*$C$32</f>
        <v>11115</v>
      </c>
      <c r="L32" s="238"/>
      <c r="M32" s="238">
        <f>K32*$C$32</f>
        <v>11115</v>
      </c>
      <c r="N32" s="238"/>
      <c r="O32" s="238">
        <f>M32*$C$32</f>
        <v>11115</v>
      </c>
      <c r="P32" s="238"/>
      <c r="Q32" s="238">
        <f>O32*$C$32</f>
        <v>11115</v>
      </c>
      <c r="R32" s="238"/>
      <c r="S32" s="238">
        <f>Q32*$C$32</f>
        <v>11115</v>
      </c>
      <c r="T32" s="238"/>
      <c r="U32" s="238">
        <f>S32*$C$32</f>
        <v>11115</v>
      </c>
      <c r="V32" s="238"/>
      <c r="W32" s="238">
        <f>U32*$C$32</f>
        <v>11115</v>
      </c>
      <c r="X32" s="238"/>
      <c r="Y32" s="238">
        <f>W32*$C$32</f>
        <v>11115</v>
      </c>
      <c r="Z32" s="238"/>
      <c r="AA32" s="238">
        <f>Y32*$C$32</f>
        <v>11115</v>
      </c>
      <c r="AB32" s="238"/>
      <c r="AC32" s="238">
        <f>AA32*$C$32</f>
        <v>11115</v>
      </c>
      <c r="AD32" s="238"/>
      <c r="AE32" s="238">
        <f>AC32*$C$32</f>
        <v>11115</v>
      </c>
      <c r="AF32" s="238"/>
      <c r="AG32" s="238">
        <f>AE32*$C$32</f>
        <v>11115</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958480.19500000007</v>
      </c>
      <c r="G35" s="239">
        <f>SUM(G22:G33)</f>
        <v>989035.55957500008</v>
      </c>
      <c r="I35" s="239">
        <f>SUM(I22:I33)</f>
        <v>1020631.0914583749</v>
      </c>
      <c r="K35" s="239">
        <f>SUM(K22:K33)</f>
        <v>1053302.4805442141</v>
      </c>
      <c r="M35" s="239">
        <f>SUM(M22:M33)</f>
        <v>1087086.6482898495</v>
      </c>
      <c r="O35" s="239">
        <f>SUM(O22:O33)</f>
        <v>1122021.7903873122</v>
      </c>
      <c r="Q35" s="239">
        <f>SUM(Q22:Q33)</f>
        <v>1158147.4209175853</v>
      </c>
      <c r="S35" s="239">
        <f>SUM(S22:S33)</f>
        <v>1195504.4180392867</v>
      </c>
      <c r="U35" s="239">
        <f>SUM(U22:U33)</f>
        <v>1234135.0712652125</v>
      </c>
      <c r="W35" s="239">
        <f>SUM(W22:W33)</f>
        <v>1274083.1303820389</v>
      </c>
      <c r="Y35" s="239">
        <f>SUM(Y22:Y33)</f>
        <v>1315393.8560704095</v>
      </c>
      <c r="AA35" s="239">
        <f>SUM(AA22:AA33)</f>
        <v>1358114.0722846282</v>
      </c>
      <c r="AC35" s="239">
        <f>SUM(AC22:AC33)</f>
        <v>1402292.2204532404</v>
      </c>
      <c r="AE35" s="239">
        <f>SUM(AE22:AE33)</f>
        <v>1447978.4155639352</v>
      </c>
      <c r="AG35" s="239">
        <f>SUM(AG22:AG33)</f>
        <v>1495224.5041983936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1498981.8049999999</v>
      </c>
      <c r="G37" s="239">
        <f>G11-G35</f>
        <v>1529862.9904249997</v>
      </c>
      <c r="I37" s="239">
        <f>I11-I35</f>
        <v>1561239.9222916251</v>
      </c>
      <c r="K37" s="239">
        <f>K11-K35</f>
        <v>1593115.308549535</v>
      </c>
      <c r="M37" s="239">
        <f>M11-M35</f>
        <v>1625491.5855312436</v>
      </c>
      <c r="O37" s="239">
        <f>O11-O35</f>
        <v>1658370.8992793078</v>
      </c>
      <c r="Q37" s="239">
        <f>Q11-Q35</f>
        <v>1691755.0859907006</v>
      </c>
      <c r="S37" s="239">
        <f>S11-S35</f>
        <v>1725645.6515417055</v>
      </c>
      <c r="U37" s="239">
        <f>U11-U35</f>
        <v>1760043.750055305</v>
      </c>
      <c r="W37" s="239">
        <f>W11-W35</f>
        <v>1794950.1614714914</v>
      </c>
      <c r="Y37" s="239">
        <f>Y11-Y35</f>
        <v>1830365.2680794583</v>
      </c>
      <c r="AA37" s="239">
        <f>AA11-AA35</f>
        <v>1866289.0299689868</v>
      </c>
      <c r="AC37" s="239">
        <f>AC11-AC35</f>
        <v>1902720.959356714</v>
      </c>
      <c r="AE37" s="239">
        <f>AE11-AE35</f>
        <v>1939660.0937412677</v>
      </c>
      <c r="AG37" s="239">
        <f>AG11-AG35</f>
        <v>1977104.9678394387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CalHFA Perm Loan</v>
      </c>
      <c r="B40" s="242"/>
      <c r="C40" s="236"/>
      <c r="E40" s="238">
        <f>Application!AF627</f>
        <v>1303462.4391304348</v>
      </c>
      <c r="F40" s="238"/>
      <c r="G40" s="238">
        <f>$E$40</f>
        <v>1303462.4391304348</v>
      </c>
      <c r="H40" s="238"/>
      <c r="I40" s="238">
        <f>$E$40</f>
        <v>1303462.4391304348</v>
      </c>
      <c r="J40" s="238"/>
      <c r="K40" s="238">
        <f>$E$40</f>
        <v>1303462.4391304348</v>
      </c>
      <c r="L40" s="238"/>
      <c r="M40" s="238">
        <f>$E$40</f>
        <v>1303462.4391304348</v>
      </c>
      <c r="N40" s="238"/>
      <c r="O40" s="238">
        <f>$E$40</f>
        <v>1303462.4391304348</v>
      </c>
      <c r="P40" s="238"/>
      <c r="Q40" s="238">
        <f>$E$40</f>
        <v>1303462.4391304348</v>
      </c>
      <c r="R40" s="238"/>
      <c r="S40" s="238">
        <f>$E$40</f>
        <v>1303462.4391304348</v>
      </c>
      <c r="T40" s="238"/>
      <c r="U40" s="238">
        <f>$E$40</f>
        <v>1303462.4391304348</v>
      </c>
      <c r="V40" s="238"/>
      <c r="W40" s="238">
        <f>$E$40</f>
        <v>1303462.4391304348</v>
      </c>
      <c r="X40" s="238"/>
      <c r="Y40" s="238">
        <f>$E$40</f>
        <v>1303462.4391304348</v>
      </c>
      <c r="Z40" s="238"/>
      <c r="AA40" s="238">
        <f>$E$40</f>
        <v>1303462.4391304348</v>
      </c>
      <c r="AB40" s="238"/>
      <c r="AC40" s="238">
        <f>$E$40</f>
        <v>1303462.4391304348</v>
      </c>
      <c r="AD40" s="238"/>
      <c r="AE40" s="238">
        <f>$E$40</f>
        <v>1303462.4391304348</v>
      </c>
      <c r="AF40" s="238"/>
      <c r="AG40" s="238">
        <f>$E$40</f>
        <v>1303462.4391304348</v>
      </c>
    </row>
    <row r="41" spans="1:33" s="239" customFormat="1" ht="15">
      <c r="A41" s="239" t="s">
        <v>859</v>
      </c>
      <c r="C41" s="240"/>
      <c r="E41" s="239">
        <f>SUM(E40:E40)</f>
        <v>1303462.4391304348</v>
      </c>
      <c r="G41" s="239">
        <f>SUM(G40:G40)</f>
        <v>1303462.4391304348</v>
      </c>
      <c r="I41" s="239">
        <f>SUM(I40:I40)</f>
        <v>1303462.4391304348</v>
      </c>
      <c r="K41" s="239">
        <f>SUM(K40:K40)</f>
        <v>1303462.4391304348</v>
      </c>
      <c r="M41" s="239">
        <f>SUM(M40:M40)</f>
        <v>1303462.4391304348</v>
      </c>
      <c r="O41" s="239">
        <f>SUM(O40:O40)</f>
        <v>1303462.4391304348</v>
      </c>
      <c r="Q41" s="239">
        <f>SUM(Q40:Q40)</f>
        <v>1303462.4391304348</v>
      </c>
      <c r="S41" s="239">
        <f>SUM(S40:S40)</f>
        <v>1303462.4391304348</v>
      </c>
      <c r="U41" s="239">
        <f>SUM(U40:U40)</f>
        <v>1303462.4391304348</v>
      </c>
      <c r="W41" s="239">
        <f>SUM(W40:W40)</f>
        <v>1303462.4391304348</v>
      </c>
      <c r="Y41" s="239">
        <f>SUM(Y40:Y40)</f>
        <v>1303462.4391304348</v>
      </c>
      <c r="AA41" s="239">
        <f>SUM(AA40:AA40)</f>
        <v>1303462.4391304348</v>
      </c>
      <c r="AC41" s="239">
        <f>SUM(AC40:AC40)</f>
        <v>1303462.4391304348</v>
      </c>
      <c r="AE41" s="239">
        <f>SUM(AE40:AE40)</f>
        <v>1303462.4391304348</v>
      </c>
      <c r="AG41" s="239">
        <f>SUM(AG40:AG40)</f>
        <v>1303462.4391304348</v>
      </c>
    </row>
    <row r="42" spans="1:33" s="225" customFormat="1" ht="14.25">
      <c r="C42" s="236"/>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row>
    <row r="43" spans="1:33" s="239" customFormat="1" ht="15">
      <c r="A43" s="239" t="s">
        <v>860</v>
      </c>
      <c r="C43" s="240"/>
      <c r="E43" s="239">
        <f>E37-E41</f>
        <v>195519.36586956517</v>
      </c>
      <c r="G43" s="239">
        <f>G37-G41</f>
        <v>226400.55129456497</v>
      </c>
      <c r="I43" s="239">
        <f>I37-I41</f>
        <v>257777.48316119029</v>
      </c>
      <c r="K43" s="239">
        <f>K37-K41</f>
        <v>289652.86941910023</v>
      </c>
      <c r="M43" s="239">
        <f>M37-M41</f>
        <v>322029.14640080882</v>
      </c>
      <c r="O43" s="239">
        <f>O37-O41</f>
        <v>354908.46014887304</v>
      </c>
      <c r="Q43" s="239">
        <f>Q37-Q41</f>
        <v>388292.64686026587</v>
      </c>
      <c r="S43" s="239">
        <f>S37-S41</f>
        <v>422183.21241127071</v>
      </c>
      <c r="U43" s="239">
        <f>U37-U41</f>
        <v>456581.31092487019</v>
      </c>
      <c r="W43" s="239">
        <f>W37-W41</f>
        <v>491487.72234105668</v>
      </c>
      <c r="Y43" s="239">
        <f>Y37-Y41</f>
        <v>526902.8289490235</v>
      </c>
      <c r="AA43" s="239">
        <f>AA37-AA41</f>
        <v>562826.59083855199</v>
      </c>
      <c r="AC43" s="239">
        <f>AC37-AC41</f>
        <v>599258.52022627927</v>
      </c>
      <c r="AE43" s="239">
        <f>AE37-AE41</f>
        <v>636197.65461083292</v>
      </c>
      <c r="AG43" s="239">
        <f>AG37-AG41</f>
        <v>673642.52870900393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43" customFormat="1" ht="14.25">
      <c r="A45" s="243" t="s">
        <v>862</v>
      </c>
      <c r="C45" s="236"/>
      <c r="E45" s="243">
        <f>E43/(E4+E6+E8)</f>
        <v>7.5583426142942139E-2</v>
      </c>
      <c r="G45" s="243">
        <f>G43/(G4+G6+G8)</f>
        <v>8.5386735297392879E-2</v>
      </c>
      <c r="I45" s="243">
        <f>I43/(I4+I6+I8)</f>
        <v>9.4849280889305942E-2</v>
      </c>
      <c r="K45" s="243">
        <f>K43/(K4+K6+K8)</f>
        <v>0.10397837676354786</v>
      </c>
      <c r="M45" s="243">
        <f>M43/(M4+M6+M8)</f>
        <v>0.11278114867486094</v>
      </c>
      <c r="O45" s="243">
        <f>O43/(O4+O6+O8)</f>
        <v>0.12126453878061971</v>
      </c>
      <c r="Q45" s="243">
        <f>Q43/(Q4+Q6+Q8)</f>
        <v>0.12943531002308903</v>
      </c>
      <c r="S45" s="243">
        <f>S43/(S4+S6+S8)</f>
        <v>0.13730005040385923</v>
      </c>
      <c r="U45" s="243">
        <f>U43/(U4+U6+U8)</f>
        <v>0.14486517715308991</v>
      </c>
      <c r="W45" s="243">
        <f>W43/(W4+W6+W8)</f>
        <v>0.15213694079610762</v>
      </c>
      <c r="Y45" s="243">
        <f>Y43/(Y4+Y6+Y8)</f>
        <v>0.15912142911986196</v>
      </c>
      <c r="AA45" s="243">
        <f>AA43/(AA4+AA6+AA8)</f>
        <v>0.16582457104166651</v>
      </c>
      <c r="AC45" s="243">
        <f>AC43/(AC4+AC6+AC8)</f>
        <v>0.17225214038259934</v>
      </c>
      <c r="AE45" s="243">
        <f>AE43/(AE4+AE6+AE8)</f>
        <v>0.17840975954788335</v>
      </c>
      <c r="AG45" s="243">
        <f>AG43/(AG4+AG6+AG8)</f>
        <v>0.18430290311649927</v>
      </c>
    </row>
    <row r="46" spans="1:33" s="243" customFormat="1" ht="14.25">
      <c r="A46" s="243" t="s">
        <v>863</v>
      </c>
      <c r="C46" s="236"/>
      <c r="E46" s="243">
        <f>E43/E41</f>
        <v>0.14999999999999997</v>
      </c>
      <c r="G46" s="243">
        <f>G43/G41</f>
        <v>0.17369165731051001</v>
      </c>
      <c r="I46" s="243">
        <f>I43/I41</f>
        <v>0.1977636450599671</v>
      </c>
      <c r="K46" s="243">
        <f>K43/K41</f>
        <v>0.22221804075331339</v>
      </c>
      <c r="M46" s="243">
        <f>M43/M41</f>
        <v>0.24705671351423117</v>
      </c>
      <c r="O46" s="243">
        <f>O43/O41</f>
        <v>0.27228130975959647</v>
      </c>
      <c r="Q46" s="243">
        <f>Q43/Q41</f>
        <v>0.29789323819664759</v>
      </c>
      <c r="S46" s="243">
        <f>S43/S41</f>
        <v>0.3238936541147418</v>
      </c>
      <c r="U46" s="243">
        <f>U43/U41</f>
        <v>0.35028344294252506</v>
      </c>
      <c r="W46" s="243">
        <f>W43/W41</f>
        <v>0.37706320304015645</v>
      </c>
      <c r="Y46" s="243">
        <f>Y43/Y41</f>
        <v>0.40423322769510001</v>
      </c>
      <c r="AA46" s="243">
        <f>AA43/AA41</f>
        <v>0.4317934862887377</v>
      </c>
      <c r="AC46" s="243">
        <f>AC43/AC41</f>
        <v>0.45974360459980446</v>
      </c>
      <c r="AE46" s="243">
        <f>AE43/AE41</f>
        <v>0.48808284420934506</v>
      </c>
      <c r="AG46" s="243">
        <f>AG43/AG41</f>
        <v>0.51681008097049885</v>
      </c>
    </row>
    <row r="47" spans="1:33" s="244" customFormat="1" ht="14.25">
      <c r="A47" s="244" t="s">
        <v>861</v>
      </c>
      <c r="C47" s="245"/>
      <c r="E47" s="244">
        <f>E37/E41</f>
        <v>1.1499999999999999</v>
      </c>
      <c r="G47" s="244">
        <f>G37/G41</f>
        <v>1.1736916573105101</v>
      </c>
      <c r="I47" s="244">
        <f>I37/I41</f>
        <v>1.1977636450599671</v>
      </c>
      <c r="K47" s="244">
        <f>K37/K41</f>
        <v>1.2222180407533134</v>
      </c>
      <c r="M47" s="244">
        <f>M37/M41</f>
        <v>1.2470567135142312</v>
      </c>
      <c r="O47" s="244">
        <f>O37/O41</f>
        <v>1.2722813097595964</v>
      </c>
      <c r="Q47" s="244">
        <f>Q37/Q41</f>
        <v>1.2978932381966477</v>
      </c>
      <c r="S47" s="244">
        <f>S37/S41</f>
        <v>1.3238936541147417</v>
      </c>
      <c r="U47" s="244">
        <f>U37/U41</f>
        <v>1.350283442942525</v>
      </c>
      <c r="W47" s="244">
        <f>W37/W41</f>
        <v>1.3770632030401564</v>
      </c>
      <c r="Y47" s="244">
        <f>Y37/Y41</f>
        <v>1.4042332276951</v>
      </c>
      <c r="AA47" s="244">
        <f>AA37/AA41</f>
        <v>1.4317934862887376</v>
      </c>
      <c r="AC47" s="244">
        <f>AC37/AC41</f>
        <v>1.4597436045998045</v>
      </c>
      <c r="AE47" s="244">
        <f>AE37/AE41</f>
        <v>1.488082844209345</v>
      </c>
      <c r="AG47" s="244">
        <f>AG37/AG41</f>
        <v>1.516810080970499</v>
      </c>
    </row>
    <row r="48" spans="1:33" s="225" customFormat="1" ht="14.25">
      <c r="A48" s="246"/>
      <c r="B48" s="246"/>
      <c r="C48" s="247"/>
      <c r="D48" s="246"/>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row>
    <row r="49" spans="1:35" s="3" customFormat="1">
      <c r="A49" s="3" t="s">
        <v>871</v>
      </c>
      <c r="C49" s="996"/>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row>
    <row r="50" spans="1:35" s="3" customFormat="1">
      <c r="A50" s="2694" t="s">
        <v>2743</v>
      </c>
      <c r="B50" s="2694"/>
      <c r="C50" s="2694"/>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row>
    <row r="51" spans="1:35" s="997" customFormat="1">
      <c r="A51" s="997" t="s">
        <v>2744</v>
      </c>
      <c r="C51" s="998"/>
      <c r="E51" s="999">
        <v>15000</v>
      </c>
      <c r="G51" s="995">
        <v>7725</v>
      </c>
      <c r="I51" s="995">
        <v>7956.75</v>
      </c>
      <c r="K51" s="995">
        <v>8195.4524999999994</v>
      </c>
      <c r="M51" s="995">
        <v>8441.3160749999988</v>
      </c>
      <c r="O51" s="995">
        <v>8694.5555572499998</v>
      </c>
      <c r="Q51" s="995">
        <v>8694.5555572499998</v>
      </c>
      <c r="S51" s="995">
        <v>8955.3922239674994</v>
      </c>
      <c r="U51" s="995">
        <v>9224.0539906865251</v>
      </c>
      <c r="W51" s="995">
        <v>9500.7756104071213</v>
      </c>
      <c r="Y51" s="995">
        <v>9785.7988787193353</v>
      </c>
      <c r="AA51" s="995">
        <v>10079.372845080916</v>
      </c>
      <c r="AC51" s="995">
        <v>10381.754030433343</v>
      </c>
      <c r="AE51" s="995">
        <v>10693.206651346343</v>
      </c>
      <c r="AG51" s="995">
        <v>11014.002850886734</v>
      </c>
    </row>
    <row r="52" spans="1:35" s="3" customFormat="1">
      <c r="A52" s="3" t="s">
        <v>2745</v>
      </c>
      <c r="C52" s="993"/>
      <c r="E52" s="1000"/>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row>
    <row r="53" spans="1:35" s="3" customFormat="1">
      <c r="A53" s="3" t="s">
        <v>2746</v>
      </c>
      <c r="C53" s="993"/>
      <c r="E53" s="1000">
        <v>20000</v>
      </c>
      <c r="F53" s="995"/>
      <c r="G53" s="995">
        <v>7500</v>
      </c>
      <c r="H53" s="995"/>
      <c r="I53" s="995">
        <v>7500</v>
      </c>
      <c r="J53" s="995"/>
      <c r="K53" s="995">
        <v>7500</v>
      </c>
      <c r="L53" s="995"/>
      <c r="M53" s="995">
        <v>7500</v>
      </c>
      <c r="N53" s="995"/>
      <c r="O53" s="995">
        <v>7500</v>
      </c>
      <c r="P53" s="995"/>
      <c r="Q53" s="995">
        <v>7500</v>
      </c>
      <c r="R53" s="995"/>
      <c r="S53" s="995">
        <v>7500</v>
      </c>
      <c r="T53" s="995"/>
      <c r="U53" s="995">
        <v>7500</v>
      </c>
      <c r="V53" s="995"/>
      <c r="W53" s="995">
        <v>7500</v>
      </c>
      <c r="X53" s="995"/>
      <c r="Y53" s="995">
        <v>7500</v>
      </c>
      <c r="Z53" s="995"/>
      <c r="AA53" s="995">
        <v>7500</v>
      </c>
      <c r="AB53" s="995"/>
      <c r="AC53" s="995">
        <v>7500</v>
      </c>
      <c r="AD53" s="995"/>
      <c r="AE53" s="995">
        <v>7500</v>
      </c>
      <c r="AF53" s="995"/>
      <c r="AG53" s="995">
        <v>7500</v>
      </c>
      <c r="AH53" s="995"/>
      <c r="AI53" s="995"/>
    </row>
    <row r="54" spans="1:35" s="3" customFormat="1">
      <c r="A54" s="997" t="s">
        <v>864</v>
      </c>
      <c r="C54" s="996"/>
      <c r="E54" s="995">
        <f>SUM(E51:E53)</f>
        <v>35000</v>
      </c>
      <c r="F54" s="995"/>
      <c r="G54" s="995">
        <f>SUM(G51:G53)</f>
        <v>15225</v>
      </c>
      <c r="H54" s="995"/>
      <c r="I54" s="995">
        <f>SUM(I51:I53)</f>
        <v>15456.75</v>
      </c>
      <c r="J54" s="995"/>
      <c r="K54" s="995">
        <f>SUM(K51:K53)</f>
        <v>15695.452499999999</v>
      </c>
      <c r="L54" s="995"/>
      <c r="M54" s="995">
        <f>SUM(M51:M53)</f>
        <v>15941.316074999999</v>
      </c>
      <c r="N54" s="995"/>
      <c r="O54" s="995">
        <f>SUM(O51:O53)</f>
        <v>16194.55555725</v>
      </c>
      <c r="P54" s="995"/>
      <c r="Q54" s="995">
        <f>SUM(Q51:Q53)</f>
        <v>16194.55555725</v>
      </c>
      <c r="R54" s="995"/>
      <c r="S54" s="995">
        <f>SUM(S51:S53)</f>
        <v>16455.392223967501</v>
      </c>
      <c r="T54" s="995"/>
      <c r="U54" s="995">
        <f>SUM(U51:U53)</f>
        <v>16724.053990686523</v>
      </c>
      <c r="V54" s="995"/>
      <c r="W54" s="995">
        <f>SUM(W51:W53)</f>
        <v>17000.775610407123</v>
      </c>
      <c r="X54" s="995"/>
      <c r="Y54" s="995">
        <f>SUM(Y51:Y53)</f>
        <v>17285.798878719335</v>
      </c>
      <c r="Z54" s="995"/>
      <c r="AA54" s="995">
        <f>SUM(AA51:AA53)</f>
        <v>17579.372845080914</v>
      </c>
      <c r="AB54" s="995"/>
      <c r="AC54" s="995">
        <f>SUM(AC51:AC53)</f>
        <v>17881.754030433345</v>
      </c>
      <c r="AD54" s="995"/>
      <c r="AE54" s="995">
        <f>SUM(AE51:AE53)</f>
        <v>18193.206651346343</v>
      </c>
      <c r="AF54" s="995"/>
      <c r="AG54" s="995">
        <f>SUM(AG51:AG53)</f>
        <v>18514.002850886733</v>
      </c>
      <c r="AH54" s="995"/>
      <c r="AI54" s="995"/>
    </row>
    <row r="55" spans="1:35" s="3" customFormat="1" ht="12.75" customHeight="1">
      <c r="A55" s="997"/>
      <c r="C55" s="1263"/>
      <c r="E55" s="995"/>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997" customFormat="1">
      <c r="A56" s="997" t="s">
        <v>867</v>
      </c>
      <c r="C56" s="1001"/>
      <c r="E56" s="997">
        <f>E43-E54</f>
        <v>160519.36586956517</v>
      </c>
      <c r="G56" s="997">
        <f>G43-G54</f>
        <v>211175.55129456497</v>
      </c>
      <c r="I56" s="997">
        <f>I43-I54</f>
        <v>242320.73316119029</v>
      </c>
      <c r="K56" s="997">
        <f>K43-K54</f>
        <v>273957.41691910021</v>
      </c>
      <c r="M56" s="997">
        <f>M43-M54</f>
        <v>306087.83032580884</v>
      </c>
      <c r="O56" s="997">
        <f>O43-O54</f>
        <v>338713.90459162305</v>
      </c>
      <c r="Q56" s="997">
        <f>Q43-Q54</f>
        <v>372098.09130301588</v>
      </c>
      <c r="S56" s="997">
        <f>S43-S54</f>
        <v>405727.82018730324</v>
      </c>
      <c r="U56" s="997">
        <f>U43-U54</f>
        <v>439857.25693418365</v>
      </c>
      <c r="W56" s="997">
        <f>W43-W54</f>
        <v>474486.94673064956</v>
      </c>
      <c r="Y56" s="997">
        <f>Y43-Y54</f>
        <v>509617.03007030417</v>
      </c>
      <c r="AA56" s="997">
        <f>AA43-AA54</f>
        <v>545247.21799347107</v>
      </c>
      <c r="AC56" s="997">
        <f>AC43-AC54</f>
        <v>581376.76619584591</v>
      </c>
      <c r="AE56" s="997">
        <f>AE43-AE54</f>
        <v>618004.44795948663</v>
      </c>
      <c r="AG56" s="997">
        <f>AG43-AG54</f>
        <v>655128.52585811715</v>
      </c>
    </row>
    <row r="57" spans="1:35" s="3" customFormat="1" ht="8.25" customHeight="1">
      <c r="C57" s="996"/>
      <c r="E57" s="995"/>
      <c r="F57" s="995"/>
      <c r="G57" s="995"/>
      <c r="H57" s="995"/>
      <c r="I57" s="995"/>
      <c r="J57" s="995"/>
      <c r="K57" s="995"/>
      <c r="L57" s="995"/>
      <c r="M57" s="995"/>
      <c r="N57" s="995"/>
      <c r="O57" s="995"/>
      <c r="P57" s="995"/>
      <c r="Q57" s="995"/>
      <c r="R57" s="995"/>
      <c r="S57" s="995"/>
      <c r="T57" s="995"/>
      <c r="U57" s="995"/>
      <c r="V57" s="995"/>
      <c r="W57" s="995"/>
      <c r="X57" s="995"/>
      <c r="Y57" s="995"/>
      <c r="Z57" s="995"/>
      <c r="AA57" s="995"/>
      <c r="AB57" s="995"/>
      <c r="AC57" s="995"/>
      <c r="AD57" s="995"/>
      <c r="AE57" s="995"/>
      <c r="AF57" s="995"/>
      <c r="AG57" s="995"/>
      <c r="AH57" s="995"/>
      <c r="AI57" s="995"/>
    </row>
    <row r="58" spans="1:35" s="997" customFormat="1">
      <c r="A58" s="997" t="s">
        <v>866</v>
      </c>
      <c r="C58" s="994">
        <v>1</v>
      </c>
      <c r="E58" s="999">
        <f>E56*$C$58</f>
        <v>160519.36586956517</v>
      </c>
      <c r="G58" s="997">
        <f>G56*$C$58</f>
        <v>211175.55129456497</v>
      </c>
      <c r="I58" s="997">
        <f>I56*$C$58</f>
        <v>242320.73316119029</v>
      </c>
      <c r="K58" s="997">
        <f>K56*$C$58</f>
        <v>273957.41691910021</v>
      </c>
      <c r="M58" s="997">
        <f>M56*$C$58</f>
        <v>306087.83032580884</v>
      </c>
      <c r="O58" s="997">
        <f>O56*$C$58</f>
        <v>338713.90459162305</v>
      </c>
      <c r="Q58" s="997">
        <f>Q56*$C$58</f>
        <v>372098.09130301588</v>
      </c>
      <c r="S58" s="997">
        <f>S56*$C$58</f>
        <v>405727.82018730324</v>
      </c>
      <c r="U58" s="997">
        <f>U56*$C$58</f>
        <v>439857.25693418365</v>
      </c>
      <c r="W58" s="997">
        <f>W56*$C$58</f>
        <v>474486.94673064956</v>
      </c>
      <c r="Y58" s="997">
        <f>Y56*$C$58</f>
        <v>509617.03007030417</v>
      </c>
      <c r="AA58" s="997">
        <f>AA56*$C$58</f>
        <v>545247.21799347107</v>
      </c>
      <c r="AC58" s="997">
        <f>AC56*$C$58</f>
        <v>581376.76619584591</v>
      </c>
      <c r="AE58" s="997">
        <f>AE56*$C$58</f>
        <v>618004.44795948663</v>
      </c>
      <c r="AG58" s="997">
        <v>205663.48816981446</v>
      </c>
    </row>
    <row r="59" spans="1:35" s="997" customFormat="1">
      <c r="A59" s="2694" t="s">
        <v>1288</v>
      </c>
      <c r="B59" s="2694"/>
      <c r="C59" s="2694"/>
    </row>
    <row r="60" spans="1:35" s="3" customFormat="1" ht="8.25" customHeight="1">
      <c r="C60" s="996"/>
      <c r="E60" s="995"/>
      <c r="F60" s="99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row>
    <row r="61" spans="1:35" s="3" customFormat="1">
      <c r="A61" s="3" t="s">
        <v>870</v>
      </c>
      <c r="C61" s="994">
        <v>1</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9" t="s">
        <v>2741</v>
      </c>
      <c r="B62" s="999"/>
      <c r="C62" s="998">
        <v>50</v>
      </c>
      <c r="E62" s="999"/>
      <c r="G62" s="995"/>
      <c r="I62" s="995"/>
      <c r="K62" s="995"/>
      <c r="M62" s="995"/>
      <c r="O62" s="995"/>
      <c r="Q62" s="995"/>
      <c r="S62" s="995"/>
      <c r="U62" s="995"/>
      <c r="W62" s="995"/>
      <c r="Y62" s="995"/>
      <c r="AA62" s="995"/>
      <c r="AC62" s="995"/>
      <c r="AE62" s="995"/>
      <c r="AG62" s="995">
        <f>AG58*$C$61</f>
        <v>205663.48816981446</v>
      </c>
    </row>
    <row r="63" spans="1:35" s="995" customFormat="1">
      <c r="A63" s="1000" t="s">
        <v>2742</v>
      </c>
      <c r="B63" s="1000"/>
      <c r="C63" s="998">
        <v>50</v>
      </c>
      <c r="E63" s="999"/>
      <c r="AG63" s="995">
        <f>AG62*0.5</f>
        <v>102831.74408490723</v>
      </c>
    </row>
    <row r="64" spans="1:35" s="995" customFormat="1">
      <c r="A64" s="997" t="s">
        <v>864</v>
      </c>
      <c r="C64" s="1002"/>
      <c r="E64" s="995">
        <f>SUM(E62:E63)</f>
        <v>0</v>
      </c>
      <c r="G64" s="995">
        <f>SUM(G62:G63)</f>
        <v>0</v>
      </c>
      <c r="I64" s="995">
        <f>SUM(I62:I63)</f>
        <v>0</v>
      </c>
      <c r="K64" s="995">
        <f>SUM(K62:K63)</f>
        <v>0</v>
      </c>
      <c r="M64" s="995">
        <f>SUM(M62:M63)</f>
        <v>0</v>
      </c>
      <c r="O64" s="995">
        <f>SUM(O62:O63)</f>
        <v>0</v>
      </c>
      <c r="Q64" s="995">
        <f>SUM(Q62:Q63)</f>
        <v>0</v>
      </c>
      <c r="S64" s="995">
        <f>SUM(S62:S63)</f>
        <v>0</v>
      </c>
      <c r="U64" s="995">
        <f>SUM(U62:U63)</f>
        <v>0</v>
      </c>
      <c r="W64" s="995">
        <f>SUM(W62:W63)</f>
        <v>0</v>
      </c>
      <c r="Y64" s="995">
        <f>SUM(Y62:Y63)</f>
        <v>0</v>
      </c>
      <c r="AA64" s="995">
        <f>SUM(AA62:AA63)</f>
        <v>0</v>
      </c>
      <c r="AC64" s="995">
        <f>SUM(AC62:AC63)</f>
        <v>0</v>
      </c>
      <c r="AE64" s="995">
        <f>SUM(AE62:AE63)</f>
        <v>0</v>
      </c>
      <c r="AG64" s="995">
        <f>AG62*0.5</f>
        <v>102831.74408490723</v>
      </c>
    </row>
    <row r="65" spans="1:33" s="995" customFormat="1">
      <c r="A65" s="997"/>
      <c r="C65" s="1002"/>
    </row>
    <row r="66" spans="1:33" s="995" customFormat="1">
      <c r="A66" s="997" t="s">
        <v>1907</v>
      </c>
      <c r="C66" s="1002"/>
      <c r="E66" s="997">
        <f>E56-E58-E64</f>
        <v>0</v>
      </c>
      <c r="G66" s="997">
        <f>G56-G58-G64</f>
        <v>0</v>
      </c>
      <c r="I66" s="997">
        <f>I56-I58-I64</f>
        <v>0</v>
      </c>
      <c r="K66" s="997">
        <f>K56-K58-K64</f>
        <v>0</v>
      </c>
      <c r="M66" s="997">
        <f>M56-M58-M64</f>
        <v>0</v>
      </c>
      <c r="O66" s="997">
        <f>O56-O58-O64</f>
        <v>0</v>
      </c>
      <c r="Q66" s="997">
        <f>Q56-Q58-Q64</f>
        <v>0</v>
      </c>
      <c r="S66" s="997">
        <f>S56-S58-S64</f>
        <v>0</v>
      </c>
      <c r="U66" s="997">
        <f>U56-U58-U64</f>
        <v>0</v>
      </c>
      <c r="W66" s="997">
        <f>W56-W58-W64</f>
        <v>0</v>
      </c>
      <c r="Y66" s="997">
        <f>Y56-Y58-Y64</f>
        <v>0</v>
      </c>
      <c r="AA66" s="997">
        <f>AA56-AA58-AA64</f>
        <v>0</v>
      </c>
      <c r="AC66" s="997">
        <f>AC56-AC58-AC64</f>
        <v>0</v>
      </c>
      <c r="AE66" s="997">
        <f>AE56-AE58-AE64</f>
        <v>0</v>
      </c>
      <c r="AG66" s="997">
        <f>AG56-AG58-AG64</f>
        <v>346633.29360339546</v>
      </c>
    </row>
    <row r="67" spans="1:33" s="995" customFormat="1">
      <c r="A67" s="563"/>
      <c r="C67" s="1002"/>
    </row>
    <row r="68" spans="1:33" s="233" customFormat="1">
      <c r="A68" s="563"/>
      <c r="C68" s="192"/>
    </row>
    <row r="69" spans="1:33" s="233" customFormat="1">
      <c r="A69" s="995" t="s">
        <v>1906</v>
      </c>
      <c r="C69" s="192"/>
    </row>
    <row r="70" spans="1:33" s="233" customFormat="1">
      <c r="C70" s="192"/>
    </row>
    <row r="71" spans="1:33" s="250" customFormat="1" ht="30" customHeight="1">
      <c r="A71" s="2692" t="s">
        <v>1905</v>
      </c>
      <c r="B71" s="2693"/>
      <c r="C71" s="2693"/>
      <c r="D71" s="2693"/>
      <c r="E71" s="2693"/>
      <c r="F71" s="2693"/>
      <c r="G71" s="2693"/>
      <c r="H71" s="2693"/>
      <c r="I71" s="2693"/>
      <c r="J71" s="2693"/>
      <c r="K71" s="2693"/>
      <c r="L71" s="2693"/>
      <c r="M71" s="2693"/>
      <c r="N71" s="2693"/>
      <c r="O71" s="2693"/>
      <c r="P71" s="2693"/>
      <c r="Q71" s="2693"/>
      <c r="R71" s="2693"/>
      <c r="S71" s="2693"/>
      <c r="T71" s="2693"/>
      <c r="U71" s="2693"/>
      <c r="V71" s="2693"/>
      <c r="W71" s="2693"/>
      <c r="X71" s="2693"/>
      <c r="Y71" s="2693"/>
      <c r="Z71" s="2693"/>
      <c r="AA71" s="2693"/>
      <c r="AB71" s="2693"/>
      <c r="AC71" s="2693"/>
      <c r="AD71" s="2693"/>
      <c r="AE71" s="2693"/>
      <c r="AF71" s="2693"/>
      <c r="AG71" s="2693"/>
    </row>
    <row r="72" spans="1:33" s="230" customFormat="1" hidden="1">
      <c r="C72" s="232"/>
    </row>
    <row r="73" spans="1:33" s="230" customFormat="1" hidden="1">
      <c r="C73" s="232"/>
    </row>
    <row r="74" spans="1:33" s="230" customFormat="1" hidden="1">
      <c r="C74" s="232"/>
    </row>
    <row r="75" spans="1:33" s="230" customFormat="1" hidden="1">
      <c r="C75" s="232"/>
    </row>
    <row r="76" spans="1:33" s="230" customFormat="1" hidden="1">
      <c r="C76" s="232"/>
    </row>
    <row r="77" spans="1:33" s="230" customFormat="1" hidden="1">
      <c r="C77" s="232"/>
    </row>
    <row r="78" spans="1:33" s="230" customFormat="1" hidden="1">
      <c r="C78" s="232"/>
    </row>
    <row r="79" spans="1:33" s="230" customFormat="1" hidden="1">
      <c r="C79" s="232"/>
    </row>
    <row r="80" spans="1:33"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row r="213" spans="3:3"/>
    <row r="214" spans="3:3"/>
    <row r="215" spans="3:3"/>
    <row r="216" spans="3:3"/>
    <row r="217"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1:AG71"/>
    <mergeCell ref="A50:C50"/>
    <mergeCell ref="A59:C59"/>
  </mergeCells>
  <dataValidations count="1">
    <dataValidation type="list" allowBlank="1" showInputMessage="1" showErrorMessage="1" sqref="A50:C50 A59:C59"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16 W16 U16 S16 Q16 O16 M16 K16 I16 AG16 AC16 AE16 AA16 Y16"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901</v>
      </c>
      <c r="B2" s="281"/>
      <c r="C2" s="281"/>
      <c r="D2" s="278"/>
      <c r="E2" s="282"/>
      <c r="F2" s="281"/>
    </row>
    <row r="3" spans="1:7" s="379" customFormat="1" ht="80.25" customHeight="1">
      <c r="A3" s="298"/>
      <c r="B3" s="283" t="s">
        <v>902</v>
      </c>
      <c r="C3" s="283" t="s">
        <v>903</v>
      </c>
      <c r="D3" s="283" t="s">
        <v>904</v>
      </c>
      <c r="E3" s="280" t="s">
        <v>905</v>
      </c>
      <c r="F3" s="280"/>
      <c r="G3" s="382"/>
    </row>
    <row r="4" spans="1:7" s="380" customFormat="1">
      <c r="A4" s="284" t="s">
        <v>26</v>
      </c>
      <c r="B4" s="284"/>
      <c r="C4" s="284"/>
      <c r="D4" s="284"/>
      <c r="E4" s="303"/>
      <c r="F4" s="284"/>
      <c r="G4" s="383"/>
    </row>
    <row r="5" spans="1:7" s="380" customFormat="1">
      <c r="A5" s="395" t="s">
        <v>27</v>
      </c>
      <c r="B5" s="286">
        <f>'Sources and Uses Budget'!$C4</f>
        <v>3025000</v>
      </c>
      <c r="C5" s="286">
        <f>'Sources and Uses Budget'!$C4</f>
        <v>3025000</v>
      </c>
      <c r="D5" s="290">
        <f>C5-B5</f>
        <v>0</v>
      </c>
      <c r="E5" s="288"/>
      <c r="F5" s="287"/>
      <c r="G5" s="383"/>
    </row>
    <row r="6" spans="1:7" s="380" customFormat="1">
      <c r="A6" s="395" t="s">
        <v>28</v>
      </c>
      <c r="B6" s="286">
        <f>'Sources and Uses Budget'!$C5</f>
        <v>91250</v>
      </c>
      <c r="C6" s="286">
        <f>'Sources and Uses Budget'!$C5</f>
        <v>91250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3116250</v>
      </c>
      <c r="C9" s="290">
        <f>SUM(C5:C8)</f>
        <v>3116250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106400</v>
      </c>
      <c r="C11" s="286">
        <f>'Sources and Uses Budget'!$C10</f>
        <v>106400</v>
      </c>
      <c r="D11" s="290">
        <f t="shared" si="0"/>
        <v>0</v>
      </c>
      <c r="E11" s="288"/>
      <c r="F11" s="287"/>
      <c r="G11" s="383"/>
    </row>
    <row r="12" spans="1:7" s="380" customFormat="1">
      <c r="A12" s="396" t="s">
        <v>604</v>
      </c>
      <c r="B12" s="290">
        <f>SUM(B10:B11)</f>
        <v>106400</v>
      </c>
      <c r="C12" s="290">
        <f>SUM(C10:C11)</f>
        <v>106400</v>
      </c>
      <c r="D12" s="290">
        <f t="shared" si="0"/>
        <v>0</v>
      </c>
      <c r="E12" s="288"/>
      <c r="F12" s="287"/>
      <c r="G12" s="383"/>
    </row>
    <row r="13" spans="1:7" s="380" customFormat="1">
      <c r="A13" s="396" t="s">
        <v>84</v>
      </c>
      <c r="B13" s="290">
        <f>SUM(B9+B12)</f>
        <v>3222650</v>
      </c>
      <c r="C13" s="290">
        <f>SUM(C9+C12)</f>
        <v>3222650</v>
      </c>
      <c r="D13" s="290">
        <f t="shared" si="0"/>
        <v>0</v>
      </c>
      <c r="E13" s="288"/>
      <c r="F13" s="287"/>
      <c r="G13" s="383"/>
    </row>
    <row r="14" spans="1:7" s="380" customFormat="1">
      <c r="A14" s="397" t="s">
        <v>915</v>
      </c>
      <c r="B14" s="286">
        <f>'Sources and Uses Budget'!$C13</f>
        <v>375284.375</v>
      </c>
      <c r="C14" s="286">
        <f>'Sources and Uses Budget'!$C13</f>
        <v>375284.375</v>
      </c>
      <c r="D14" s="290">
        <f t="shared" si="0"/>
        <v>0</v>
      </c>
      <c r="E14" s="288"/>
      <c r="F14" s="287"/>
      <c r="G14" s="383"/>
    </row>
    <row r="15" spans="1:7" s="380" customFormat="1" ht="24">
      <c r="A15" s="395" t="s">
        <v>916</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0"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250000</v>
      </c>
      <c r="C30" s="286">
        <f>'Sources and Uses Budget'!$C29</f>
        <v>250000</v>
      </c>
      <c r="D30" s="290">
        <f t="shared" si="0"/>
        <v>0</v>
      </c>
      <c r="E30" s="288"/>
      <c r="F30" s="287"/>
      <c r="G30" s="383"/>
    </row>
    <row r="31" spans="1:7" s="380" customFormat="1">
      <c r="A31" s="145" t="s">
        <v>607</v>
      </c>
      <c r="B31" s="286">
        <f>'Sources and Uses Budget'!$C30</f>
        <v>39209777</v>
      </c>
      <c r="C31" s="286">
        <f>'Sources and Uses Budget'!$C30</f>
        <v>39209777</v>
      </c>
      <c r="D31" s="290">
        <f t="shared" si="0"/>
        <v>0</v>
      </c>
      <c r="E31" s="288"/>
      <c r="F31" s="287"/>
      <c r="G31" s="383"/>
    </row>
    <row r="32" spans="1:7" s="380" customFormat="1">
      <c r="A32" s="145" t="s">
        <v>608</v>
      </c>
      <c r="B32" s="286">
        <f>'Sources and Uses Budget'!$C31</f>
        <v>2491375</v>
      </c>
      <c r="C32" s="286">
        <f>'Sources and Uses Budget'!$C31</f>
        <v>2491375</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1927663</v>
      </c>
      <c r="C34" s="286">
        <f>'Sources and Uses Budget'!$C33</f>
        <v>1927663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318000</v>
      </c>
      <c r="C36" s="286">
        <f>'Sources and Uses Budget'!$C35</f>
        <v>318000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(Payment and Preformance Bonds)</v>
      </c>
      <c r="B38" s="286">
        <f>'Sources and Uses Budget'!$C37</f>
        <v>433426</v>
      </c>
      <c r="C38" s="286">
        <f>'Sources and Uses Budget'!$C37</f>
        <v>433426</v>
      </c>
      <c r="D38" s="290">
        <f t="shared" si="0"/>
        <v>0</v>
      </c>
      <c r="E38" s="288"/>
      <c r="F38" s="287"/>
      <c r="G38" s="383"/>
    </row>
    <row r="39" spans="1:7" s="380" customFormat="1">
      <c r="A39" s="291" t="s">
        <v>143</v>
      </c>
      <c r="B39" s="290">
        <f>SUM(B30:B38)</f>
        <v>44630241</v>
      </c>
      <c r="C39" s="290">
        <f>SUM(C30:C38)</f>
        <v>44630241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793220</v>
      </c>
      <c r="C41" s="286">
        <f>'Sources and Uses Budget'!$C40</f>
        <v>793220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1093220</v>
      </c>
      <c r="C43" s="290">
        <f>SUM(C41:C42)</f>
        <v>1093220</v>
      </c>
      <c r="D43" s="290">
        <f t="shared" si="0"/>
        <v>0</v>
      </c>
      <c r="E43" s="288"/>
      <c r="F43" s="287"/>
      <c r="G43" s="383"/>
    </row>
    <row r="44" spans="1:7" s="380" customFormat="1">
      <c r="A44" s="291" t="s">
        <v>148</v>
      </c>
      <c r="B44" s="286">
        <f>'Sources and Uses Budget'!$C43</f>
        <v>913432</v>
      </c>
      <c r="C44" s="286">
        <f>'Sources and Uses Budget'!$C43</f>
        <v>913432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4132833.3333333326</v>
      </c>
      <c r="C46" s="286">
        <f>'Sources and Uses Budget'!$C45</f>
        <v>4132833.3333333326</v>
      </c>
      <c r="D46" s="290">
        <f t="shared" si="0"/>
        <v>0</v>
      </c>
      <c r="E46" s="288"/>
      <c r="F46" s="287"/>
      <c r="G46" s="383"/>
    </row>
    <row r="47" spans="1:7" s="380" customFormat="1">
      <c r="A47" s="145" t="s">
        <v>151</v>
      </c>
      <c r="B47" s="286">
        <f>'Sources and Uses Budget'!$C46</f>
        <v>508750</v>
      </c>
      <c r="C47" s="286">
        <f>'Sources and Uses Budget'!$C46</f>
        <v>508750</v>
      </c>
      <c r="D47" s="290">
        <f t="shared" si="0"/>
        <v>0</v>
      </c>
      <c r="E47" s="288"/>
      <c r="F47" s="287"/>
      <c r="G47" s="383"/>
    </row>
    <row r="48" spans="1:7" s="380" customFormat="1" ht="12" customHeight="1">
      <c r="A48" s="198" t="s">
        <v>152</v>
      </c>
      <c r="B48" s="286">
        <f>'Sources and Uses Budget'!$C47</f>
        <v>95000</v>
      </c>
      <c r="C48" s="286">
        <f>'Sources and Uses Budget'!$C47</f>
        <v>95000</v>
      </c>
      <c r="D48" s="290">
        <f t="shared" si="0"/>
        <v>0</v>
      </c>
      <c r="E48" s="288"/>
      <c r="F48" s="287"/>
      <c r="G48" s="383"/>
    </row>
    <row r="49" spans="1:7" s="380" customFormat="1">
      <c r="A49" s="145" t="s">
        <v>153</v>
      </c>
      <c r="B49" s="286">
        <f>'Sources and Uses Budget'!$C48</f>
        <v>167083.33333333331</v>
      </c>
      <c r="C49" s="286">
        <f>'Sources and Uses Budget'!$C48</f>
        <v>167083.33333333331</v>
      </c>
      <c r="D49" s="290">
        <f t="shared" si="0"/>
        <v>0</v>
      </c>
      <c r="E49" s="288"/>
      <c r="F49" s="287"/>
      <c r="G49" s="383"/>
    </row>
    <row r="50" spans="1:7" s="380" customFormat="1">
      <c r="A50" s="145" t="s">
        <v>57</v>
      </c>
      <c r="B50" s="286">
        <f>'Sources and Uses Budget'!$C49</f>
        <v>131000</v>
      </c>
      <c r="C50" s="286">
        <f>'Sources and Uses Budget'!$C49</f>
        <v>131000</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1400000</v>
      </c>
      <c r="C52" s="286">
        <f>'Sources and Uses Budget'!$C51</f>
        <v>1400000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6474666.6666666651</v>
      </c>
      <c r="C55" s="293">
        <f>SUM(C46:C54)</f>
        <v>6474666.6666666651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271350</v>
      </c>
      <c r="C57" s="286">
        <f>'Sources and Uses Budget'!$C56</f>
        <v>271350</v>
      </c>
      <c r="D57" s="290">
        <f t="shared" si="0"/>
        <v>0</v>
      </c>
      <c r="E57" s="288"/>
      <c r="F57" s="287"/>
      <c r="G57" s="383"/>
    </row>
    <row r="58" spans="1:7" s="380" customFormat="1" ht="12" customHeight="1">
      <c r="A58" s="289" t="s">
        <v>152</v>
      </c>
      <c r="B58" s="286">
        <f>'Sources and Uses Budget'!$C57</f>
        <v>55000</v>
      </c>
      <c r="C58" s="286">
        <f>'Sources and Uses Budget'!$C57</f>
        <v>55000</v>
      </c>
      <c r="D58" s="290">
        <f t="shared" si="0"/>
        <v>0</v>
      </c>
      <c r="E58" s="288"/>
      <c r="F58" s="287"/>
      <c r="G58" s="383"/>
    </row>
    <row r="59" spans="1:7" s="380" customFormat="1">
      <c r="A59" s="289" t="s">
        <v>156</v>
      </c>
      <c r="B59" s="286">
        <f>'Sources and Uses Budget'!$C58</f>
        <v>43500</v>
      </c>
      <c r="C59" s="286">
        <f>'Sources and Uses Budget'!$C58</f>
        <v>43500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ht="25.5">
      <c r="A62" s="1051" t="str">
        <f>'Sources and Uses Budget'!A61</f>
        <v>Other: (Perm Loan Interest - Const Lender)</v>
      </c>
      <c r="B62" s="286">
        <f>'Sources and Uses Budget'!$C61</f>
        <v>1969910.9051666665</v>
      </c>
      <c r="C62" s="286">
        <f>'Sources and Uses Budget'!$C61</f>
        <v>1969910.9051666665</v>
      </c>
      <c r="D62" s="290">
        <f t="shared" si="0"/>
        <v>0</v>
      </c>
      <c r="E62" s="288"/>
      <c r="F62" s="287"/>
      <c r="G62" s="383"/>
    </row>
    <row r="63" spans="1:7" s="380" customFormat="1" ht="13.7" customHeight="1">
      <c r="A63" s="291" t="s">
        <v>301</v>
      </c>
      <c r="B63" s="290">
        <f>SUM(B57:B62)</f>
        <v>2339760.9051666665</v>
      </c>
      <c r="C63" s="290">
        <f>SUM(C57:C62)</f>
        <v>2339760.9051666665</v>
      </c>
      <c r="D63" s="290">
        <f t="shared" si="0"/>
        <v>0</v>
      </c>
      <c r="E63" s="288"/>
      <c r="F63" s="287"/>
      <c r="G63" s="383"/>
    </row>
    <row r="64" spans="1:7" s="380" customFormat="1">
      <c r="A64" s="294" t="s">
        <v>302</v>
      </c>
      <c r="B64" s="290">
        <f>SUM(B9+B12+B14+B15+B17+B26+B28+B39+B43+B44+B55+B63)</f>
        <v>59049254.946833327</v>
      </c>
      <c r="C64" s="290">
        <f>SUM(C9+C12+C14+C15+C17+C26+C28+C39+C43+C44+C55+C63)</f>
        <v>59049254.946833327</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(Partnership Legal - Other)</v>
      </c>
      <c r="B70" s="286">
        <f>'Sources and Uses Budget'!$C69</f>
        <v>260000</v>
      </c>
      <c r="C70" s="286">
        <f>'Sources and Uses Budget'!$C69</f>
        <v>260000</v>
      </c>
      <c r="D70" s="290">
        <f t="shared" si="0"/>
        <v>0</v>
      </c>
      <c r="E70" s="288"/>
      <c r="F70" s="287"/>
      <c r="G70" s="383"/>
    </row>
    <row r="71" spans="1:7" s="380" customFormat="1">
      <c r="A71" s="149" t="s">
        <v>1756</v>
      </c>
      <c r="B71" s="290">
        <f>SUM(B66:B70)</f>
        <v>360000</v>
      </c>
      <c r="C71" s="290">
        <f>SUM(C66:C70)</f>
        <v>360000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613</v>
      </c>
      <c r="B76" s="286">
        <f>'Sources and Uses Budget'!$C75</f>
        <v>565485.65853260877</v>
      </c>
      <c r="C76" s="286">
        <f>'Sources and Uses Budget'!$C75</f>
        <v>565485.65853260877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565485.65853260877</v>
      </c>
      <c r="C78" s="290">
        <f>SUM(C73:C77)</f>
        <v>565485.65853260877</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2241394.5500000003</v>
      </c>
      <c r="C80" s="286">
        <f>'Sources and Uses Budget'!$C79</f>
        <v>2241394.5500000003</v>
      </c>
      <c r="D80" s="290">
        <f t="shared" si="1"/>
        <v>0</v>
      </c>
      <c r="E80" s="288"/>
      <c r="F80" s="287"/>
      <c r="G80" s="383"/>
    </row>
    <row r="81" spans="1:7" s="380" customFormat="1">
      <c r="A81" s="544" t="s">
        <v>58</v>
      </c>
      <c r="B81" s="286">
        <f>'Sources and Uses Budget'!$C80</f>
        <v>750000</v>
      </c>
      <c r="C81" s="286">
        <f>'Sources and Uses Budget'!$C80</f>
        <v>750000</v>
      </c>
      <c r="D81" s="290">
        <f>C81-B81</f>
        <v>0</v>
      </c>
      <c r="E81" s="288"/>
      <c r="F81" s="287"/>
      <c r="G81" s="383"/>
    </row>
    <row r="82" spans="1:7" s="380" customFormat="1">
      <c r="A82" s="291" t="s">
        <v>1313</v>
      </c>
      <c r="B82" s="290">
        <f>SUM(B80:B81)</f>
        <v>2991394.5500000003</v>
      </c>
      <c r="C82" s="290">
        <f>SUM(C80:C81)</f>
        <v>2991394.5500000003</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172000</v>
      </c>
      <c r="C84" s="286">
        <f>'Sources and Uses Budget'!$C83</f>
        <v>172000</v>
      </c>
      <c r="D84" s="290">
        <f t="shared" si="1"/>
        <v>0</v>
      </c>
      <c r="E84" s="288"/>
      <c r="F84" s="287"/>
      <c r="G84" s="383"/>
    </row>
    <row r="85" spans="1:7" s="380" customFormat="1">
      <c r="A85" s="289" t="s">
        <v>776</v>
      </c>
      <c r="B85" s="286">
        <f>'Sources and Uses Budget'!$C84</f>
        <v>24206</v>
      </c>
      <c r="C85" s="286">
        <f>'Sources and Uses Budget'!$C84</f>
        <v>24206</v>
      </c>
      <c r="D85" s="290">
        <f t="shared" si="1"/>
        <v>0</v>
      </c>
      <c r="E85" s="288"/>
      <c r="F85" s="287"/>
      <c r="G85" s="383"/>
    </row>
    <row r="86" spans="1:7" s="380" customFormat="1">
      <c r="A86" s="289" t="s">
        <v>777</v>
      </c>
      <c r="B86" s="286">
        <f>'Sources and Uses Budget'!$C85</f>
        <v>1418311.12</v>
      </c>
      <c r="C86" s="286">
        <f>'Sources and Uses Budget'!$C85</f>
        <v>1418311.12</v>
      </c>
      <c r="D86" s="290">
        <f t="shared" si="1"/>
        <v>0</v>
      </c>
      <c r="E86" s="288"/>
      <c r="F86" s="287"/>
      <c r="G86" s="383"/>
    </row>
    <row r="87" spans="1:7" s="380" customFormat="1">
      <c r="A87" s="289" t="s">
        <v>778</v>
      </c>
      <c r="B87" s="286">
        <f>'Sources and Uses Budget'!$C86</f>
        <v>3671774.8316000002</v>
      </c>
      <c r="C87" s="286">
        <f>'Sources and Uses Budget'!$C86</f>
        <v>3671774.8316000002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179516</v>
      </c>
      <c r="C89" s="286">
        <f>'Sources and Uses Budget'!$C88</f>
        <v>179516</v>
      </c>
      <c r="D89" s="290">
        <f t="shared" si="1"/>
        <v>0</v>
      </c>
      <c r="E89" s="288"/>
      <c r="F89" s="287"/>
      <c r="G89" s="383"/>
    </row>
    <row r="90" spans="1:7" s="380" customFormat="1">
      <c r="A90" s="289" t="s">
        <v>781</v>
      </c>
      <c r="B90" s="286">
        <f>'Sources and Uses Budget'!$C89</f>
        <v>309750</v>
      </c>
      <c r="C90" s="286">
        <f>'Sources and Uses Budget'!$C89</f>
        <v>309750</v>
      </c>
      <c r="D90" s="290">
        <f t="shared" si="1"/>
        <v>0</v>
      </c>
      <c r="E90" s="288"/>
      <c r="F90" s="287"/>
      <c r="G90" s="383"/>
    </row>
    <row r="91" spans="1:7" s="380" customFormat="1">
      <c r="A91" s="289" t="s">
        <v>782</v>
      </c>
      <c r="B91" s="286">
        <f>'Sources and Uses Budget'!$C90</f>
        <v>9050</v>
      </c>
      <c r="C91" s="286">
        <f>'Sources and Uses Budget'!$C90</f>
        <v>9050</v>
      </c>
      <c r="D91" s="290">
        <f t="shared" si="1"/>
        <v>0</v>
      </c>
      <c r="E91" s="288"/>
      <c r="F91" s="287"/>
      <c r="G91" s="383"/>
    </row>
    <row r="92" spans="1:7" s="380" customFormat="1">
      <c r="A92" s="289" t="s">
        <v>372</v>
      </c>
      <c r="B92" s="286">
        <f>'Sources and Uses Budget'!$C91</f>
        <v>160000</v>
      </c>
      <c r="C92" s="286">
        <f>'Sources and Uses Budget'!$C91</f>
        <v>160000</v>
      </c>
      <c r="D92" s="290">
        <f t="shared" si="1"/>
        <v>0</v>
      </c>
      <c r="E92" s="288"/>
      <c r="F92" s="287"/>
      <c r="G92" s="383"/>
    </row>
    <row r="93" spans="1:7" s="380" customFormat="1">
      <c r="A93" s="544" t="s">
        <v>1315</v>
      </c>
      <c r="B93" s="286">
        <f>'Sources and Uses Budget'!$C92</f>
        <v>0</v>
      </c>
      <c r="C93" s="286">
        <f>'Sources and Uses Budget'!$C92</f>
        <v>0</v>
      </c>
      <c r="D93" s="290">
        <f t="shared" si="1"/>
        <v>0</v>
      </c>
      <c r="E93" s="288"/>
      <c r="F93" s="287"/>
      <c r="G93" s="383"/>
    </row>
    <row r="94" spans="1:7" s="380" customFormat="1">
      <c r="A94" s="292" t="s">
        <v>34</v>
      </c>
      <c r="B94" s="286">
        <f>'Sources and Uses Budget'!$C93</f>
        <v>21525</v>
      </c>
      <c r="C94" s="286">
        <f>'Sources and Uses Budget'!$C93</f>
        <v>21525</v>
      </c>
      <c r="D94" s="290">
        <f t="shared" si="1"/>
        <v>0</v>
      </c>
      <c r="E94" s="288"/>
      <c r="F94" s="287"/>
      <c r="G94" s="383"/>
    </row>
    <row r="95" spans="1:7" s="380" customFormat="1">
      <c r="A95" s="292" t="s">
        <v>34</v>
      </c>
      <c r="B95" s="286">
        <f>'Sources and Uses Budget'!$C94</f>
        <v>505515.255</v>
      </c>
      <c r="C95" s="286">
        <f>'Sources and Uses Budget'!$C94</f>
        <v>505515.255</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6471648.2066000002</v>
      </c>
      <c r="C97" s="290">
        <f>SUM(C84:C96)</f>
        <v>6471648.2066000002</v>
      </c>
      <c r="D97" s="290">
        <f t="shared" si="1"/>
        <v>0</v>
      </c>
      <c r="E97" s="288"/>
      <c r="F97" s="287"/>
      <c r="G97" s="383"/>
    </row>
    <row r="98" spans="1:7" s="380" customFormat="1">
      <c r="A98" s="291" t="s">
        <v>784</v>
      </c>
      <c r="B98" s="290">
        <f>SUM(B64+B71+B78+B82+B97)</f>
        <v>69437783.361965939</v>
      </c>
      <c r="C98" s="290">
        <f>SUM(C64+C71+C78+C82+C97)</f>
        <v>69437783.361965939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9306811.0057399999</v>
      </c>
      <c r="C100" s="286">
        <f>'Sources and Uses Budget'!$C99</f>
        <v>9306811.0057399999</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1"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9306811.0057399999</v>
      </c>
      <c r="C105" s="290">
        <f>SUM(C100:C104)</f>
        <v>9306811.0057399999</v>
      </c>
      <c r="D105" s="290">
        <f t="shared" si="1"/>
        <v>0</v>
      </c>
      <c r="E105" s="288"/>
      <c r="F105" s="287"/>
      <c r="G105" s="383"/>
    </row>
    <row r="106" spans="1:7" s="380" customFormat="1">
      <c r="A106" s="291" t="s">
        <v>789</v>
      </c>
      <c r="B106" s="293">
        <f>SUM(B98+B105)</f>
        <v>78744594.367705941</v>
      </c>
      <c r="C106" s="293">
        <f>SUM(C98+C105)</f>
        <v>78744594.367705941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1066</v>
      </c>
      <c r="B2" s="1302"/>
      <c r="C2" s="1266"/>
      <c r="D2" s="1266"/>
      <c r="E2" s="1266"/>
      <c r="F2" s="1266"/>
      <c r="G2" s="1266"/>
    </row>
    <row r="3" spans="1:9" s="173" customFormat="1">
      <c r="A3" s="1302" t="s">
        <v>1007</v>
      </c>
      <c r="B3" s="1302"/>
      <c r="C3" s="1266"/>
      <c r="D3" s="1266"/>
      <c r="E3" s="1266"/>
      <c r="F3" s="1266"/>
      <c r="G3" s="1266"/>
      <c r="I3" t="s">
        <v>307</v>
      </c>
    </row>
    <row r="4" spans="1:9">
      <c r="I4" s="3" t="s">
        <v>1067</v>
      </c>
    </row>
    <row r="5" spans="1:9">
      <c r="A5" s="1304" t="s">
        <v>1008</v>
      </c>
      <c r="B5" s="1304"/>
      <c r="C5" s="1266"/>
      <c r="D5" s="1266"/>
      <c r="E5" s="1266"/>
      <c r="F5" s="1266"/>
      <c r="G5" s="1266"/>
      <c r="I5" s="3" t="s">
        <v>1068</v>
      </c>
    </row>
    <row r="6" spans="1:9">
      <c r="A6" s="1304" t="s">
        <v>828</v>
      </c>
      <c r="B6" s="1304"/>
      <c r="C6" s="1266"/>
      <c r="D6" s="1266"/>
      <c r="E6" s="1266"/>
      <c r="F6" s="1266"/>
      <c r="G6" s="1266"/>
      <c r="I6" t="s">
        <v>599</v>
      </c>
    </row>
    <row r="7" spans="1:9" ht="11.8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5" t="s">
        <v>1166</v>
      </c>
      <c r="B11" s="1285"/>
      <c r="C11" s="1285"/>
      <c r="D11" s="1285"/>
      <c r="E11" s="1285"/>
      <c r="F11" s="1285"/>
      <c r="G11" s="1285"/>
    </row>
    <row r="12" spans="1:9">
      <c r="A12" s="172"/>
      <c r="B12" s="172"/>
      <c r="E12" s="2"/>
    </row>
    <row r="13" spans="1:9" ht="13.15" customHeight="1">
      <c r="C13" s="172"/>
      <c r="D13" s="1287" t="s">
        <v>1165</v>
      </c>
      <c r="E13" s="1287"/>
      <c r="F13" s="1287"/>
    </row>
    <row r="14" spans="1:9">
      <c r="C14" s="172"/>
      <c r="D14" s="1287"/>
      <c r="E14" s="1287"/>
      <c r="F14" s="1287"/>
    </row>
    <row r="15" spans="1:9">
      <c r="A15" s="175"/>
      <c r="B15" s="175"/>
      <c r="C15" s="175"/>
      <c r="D15" s="1284" t="s">
        <v>1148</v>
      </c>
      <c r="E15" s="1284"/>
      <c r="F15" s="1284"/>
    </row>
    <row r="16" spans="1:9">
      <c r="A16" s="175"/>
      <c r="B16" s="175"/>
      <c r="C16" s="175"/>
      <c r="D16" s="218"/>
    </row>
    <row r="17" spans="1:6" ht="14.25">
      <c r="A17" s="176"/>
      <c r="B17" s="468" t="s">
        <v>307</v>
      </c>
      <c r="C17" s="175"/>
      <c r="D17" s="1264" t="s">
        <v>1149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1150</v>
      </c>
      <c r="E21" s="1288"/>
      <c r="F21" s="1288"/>
    </row>
    <row r="22" spans="1:6" ht="14.25">
      <c r="A22" s="176"/>
      <c r="B22" s="176"/>
      <c r="D22" s="35"/>
    </row>
    <row r="23" spans="1:6" ht="14.25">
      <c r="A23" s="176"/>
      <c r="B23" s="468" t="s">
        <v>307</v>
      </c>
      <c r="D23" s="1264" t="s">
        <v>1151</v>
      </c>
      <c r="E23" s="1264"/>
      <c r="F23" s="1264"/>
    </row>
    <row r="24" spans="1:6" ht="14.25">
      <c r="A24" s="176"/>
      <c r="B24" s="176"/>
      <c r="D24" s="1264"/>
      <c r="E24" s="1264"/>
      <c r="F24" s="1264"/>
    </row>
    <row r="25" spans="1:6"/>
    <row r="26" spans="1:6" ht="14.25">
      <c r="A26" s="176"/>
      <c r="B26" s="468" t="s">
        <v>307</v>
      </c>
      <c r="D26" s="1264" t="s">
        <v>1152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1153</v>
      </c>
      <c r="E32" s="1264"/>
      <c r="F32" s="1264"/>
    </row>
    <row r="33" spans="1:6">
      <c r="D33" s="1264"/>
      <c r="E33" s="1264"/>
      <c r="F33" s="1264"/>
    </row>
    <row r="34" spans="1:6" ht="14.25">
      <c r="A34" s="176"/>
      <c r="B34" s="176"/>
      <c r="D34" s="220"/>
    </row>
    <row r="35" spans="1:6" ht="14.45" customHeight="1">
      <c r="A35" s="176"/>
      <c r="B35" s="468" t="s">
        <v>307</v>
      </c>
      <c r="D35" s="1264" t="s">
        <v>1154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1157</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1158</v>
      </c>
      <c r="E54" s="1264"/>
      <c r="F54" s="1264"/>
      <c r="G54" s="3"/>
    </row>
    <row r="55" spans="1:7" ht="14.25">
      <c r="A55" s="176"/>
      <c r="B55" s="176"/>
      <c r="C55" s="385"/>
      <c r="D55" s="1264"/>
      <c r="E55" s="1264"/>
      <c r="F55" s="1264"/>
      <c r="G55" s="3"/>
    </row>
    <row r="56" spans="1:7">
      <c r="D56" s="220"/>
    </row>
    <row r="57" spans="1:7" ht="14.25">
      <c r="A57" s="176"/>
      <c r="B57" s="468" t="s">
        <v>307</v>
      </c>
      <c r="D57" s="1264" t="s">
        <v>1159</v>
      </c>
      <c r="E57" s="1264"/>
      <c r="F57" s="1264"/>
    </row>
    <row r="58" spans="1:7">
      <c r="D58" s="1264"/>
      <c r="E58" s="1264"/>
      <c r="F58" s="1264"/>
    </row>
    <row r="59" spans="1:7">
      <c r="D59" s="1264"/>
      <c r="E59" s="1264"/>
      <c r="F59" s="1264"/>
    </row>
    <row r="60" spans="1:7">
      <c r="D60" s="3"/>
    </row>
    <row r="61" spans="1:7" ht="14.25">
      <c r="A61" s="176"/>
      <c r="B61" s="468" t="s">
        <v>307</v>
      </c>
      <c r="D61" s="1264" t="s">
        <v>1160</v>
      </c>
      <c r="E61" s="1264"/>
      <c r="F61" s="1264"/>
    </row>
    <row r="62" spans="1:7">
      <c r="D62" s="1264"/>
      <c r="E62" s="1264"/>
      <c r="F62" s="1264"/>
    </row>
    <row r="63" spans="1:7"/>
    <row r="64" spans="1:7" ht="14.25">
      <c r="A64" s="176"/>
      <c r="B64" s="468" t="s">
        <v>307</v>
      </c>
      <c r="D64" s="1264" t="s">
        <v>1161</v>
      </c>
      <c r="E64" s="1264"/>
      <c r="F64" s="1264"/>
    </row>
    <row r="65" spans="1:7">
      <c r="D65" s="1264"/>
      <c r="E65" s="1264"/>
      <c r="F65" s="1264"/>
    </row>
    <row r="66" spans="1:7">
      <c r="D66" s="1264"/>
      <c r="E66" s="1264"/>
      <c r="F66" s="1264"/>
    </row>
    <row r="67" spans="1:7">
      <c r="D67"/>
    </row>
    <row r="68" spans="1:7" ht="14.25">
      <c r="A68" s="176"/>
      <c r="B68" s="468" t="s">
        <v>307</v>
      </c>
      <c r="D68" s="1264" t="s">
        <v>1162</v>
      </c>
      <c r="E68" s="1264"/>
      <c r="F68" s="1264"/>
    </row>
    <row r="69" spans="1:7">
      <c r="D69" s="1264"/>
      <c r="E69" s="1264"/>
      <c r="F69" s="1264"/>
    </row>
    <row r="70" spans="1:7" ht="14.25">
      <c r="A70" s="176"/>
      <c r="B70" s="176"/>
      <c r="D70" s="35"/>
    </row>
    <row r="71" spans="1:7">
      <c r="A71" s="1285" t="s">
        <v>1069</v>
      </c>
      <c r="B71" s="1285"/>
      <c r="C71" s="1285"/>
      <c r="D71" s="1285"/>
      <c r="E71" s="1285"/>
      <c r="F71" s="1285"/>
      <c r="G71" s="1285"/>
    </row>
    <row r="72" spans="1:7"/>
    <row r="73" spans="1:7">
      <c r="C73" s="177"/>
      <c r="D73" s="1296" t="s">
        <v>1167</v>
      </c>
      <c r="E73" s="1296"/>
      <c r="F73" s="1296"/>
    </row>
    <row r="74" spans="1:7">
      <c r="A74" s="35"/>
      <c r="B74" s="35"/>
      <c r="D74" s="1264" t="s">
        <v>1194</v>
      </c>
      <c r="E74" s="1264"/>
      <c r="F74" s="1264"/>
    </row>
    <row r="75" spans="1:7">
      <c r="A75" s="35"/>
      <c r="B75" s="35"/>
    </row>
    <row r="76" spans="1:7" ht="14.25">
      <c r="A76" s="176"/>
      <c r="B76" s="468" t="s">
        <v>307</v>
      </c>
      <c r="D76" s="1264" t="s">
        <v>1168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1267</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1169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1170</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1171</v>
      </c>
      <c r="E114" s="1306"/>
      <c r="F114" s="1306"/>
      <c r="G114"/>
    </row>
    <row r="115" spans="1:7" ht="14.25">
      <c r="A115" s="176"/>
      <c r="B115" s="176"/>
      <c r="C115"/>
      <c r="D115" s="1306"/>
      <c r="E115" s="1306"/>
      <c r="F115" s="1306"/>
      <c r="G115"/>
    </row>
    <row r="116" spans="1:7"/>
    <row r="117" spans="1:7" ht="14.25">
      <c r="A117" s="176"/>
      <c r="B117" s="468" t="s">
        <v>307</v>
      </c>
      <c r="D117" s="1264" t="s">
        <v>1172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1174</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1175</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1176</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1070</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1071</v>
      </c>
      <c r="B172" s="1285"/>
      <c r="C172" s="1285"/>
      <c r="D172" s="1285"/>
      <c r="E172" s="1285"/>
      <c r="F172" s="1285"/>
      <c r="G172" s="1285"/>
    </row>
    <row r="173" spans="1:7" ht="12" customHeight="1">
      <c r="A173" s="2"/>
      <c r="B173" s="2"/>
      <c r="E173" s="2"/>
    </row>
    <row r="174" spans="1:7" ht="13.15" customHeight="1">
      <c r="A174" s="2"/>
      <c r="B174" s="2"/>
      <c r="D174" s="1307" t="s">
        <v>1179</v>
      </c>
      <c r="E174" s="1307"/>
      <c r="F174" s="1307"/>
    </row>
    <row r="175" spans="1:7">
      <c r="A175" s="2"/>
      <c r="B175" s="2"/>
      <c r="D175" s="1307"/>
      <c r="E175" s="1307"/>
      <c r="F175" s="1307"/>
    </row>
    <row r="176" spans="1:7">
      <c r="A176" s="2"/>
      <c r="B176" s="2"/>
      <c r="D176" s="1294" t="s">
        <v>1180</v>
      </c>
      <c r="E176" s="1294"/>
      <c r="F176" s="1294"/>
    </row>
    <row r="177" spans="1:7" ht="12" customHeight="1">
      <c r="A177" s="2"/>
      <c r="B177" s="2"/>
      <c r="E177" s="2"/>
    </row>
    <row r="178" spans="1:7" ht="14.25">
      <c r="A178" s="176"/>
      <c r="B178" s="468" t="s">
        <v>307</v>
      </c>
      <c r="D178" s="1279" t="s">
        <v>1178</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1087</v>
      </c>
      <c r="E183" s="1300"/>
      <c r="F183" s="1300"/>
    </row>
    <row r="184" spans="1:7">
      <c r="D184" s="1300"/>
      <c r="E184" s="1300"/>
      <c r="F184" s="1300"/>
    </row>
    <row r="185" spans="1:7">
      <c r="D185" s="475"/>
      <c r="E185" s="475"/>
      <c r="F185" s="475"/>
    </row>
    <row r="186" spans="1:7" ht="14.25">
      <c r="A186" s="176"/>
      <c r="B186" s="468" t="s">
        <v>307</v>
      </c>
      <c r="C186" s="385"/>
      <c r="D186" s="1264" t="s">
        <v>1177</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1072</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1201</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307</v>
      </c>
      <c r="D197" s="1264" t="s">
        <v>1195</v>
      </c>
      <c r="E197" s="1264"/>
      <c r="F197" s="1264"/>
    </row>
    <row r="198" spans="1:6" ht="14.25">
      <c r="A198" s="176"/>
      <c r="B198" s="176"/>
      <c r="D198" s="1264"/>
      <c r="E198" s="1264"/>
      <c r="F198" s="1264"/>
    </row>
    <row r="199" spans="1:6"/>
    <row r="200" spans="1:6" ht="14.25">
      <c r="A200" s="176"/>
      <c r="B200" s="468" t="s">
        <v>307</v>
      </c>
      <c r="D200" s="1264" t="s">
        <v>1196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1198</v>
      </c>
      <c r="E210" s="1264"/>
      <c r="F210" s="1264"/>
    </row>
    <row r="211" spans="1:7" ht="14.25">
      <c r="A211" s="176"/>
      <c r="B211" s="176"/>
      <c r="D211" s="1264"/>
      <c r="E211" s="1264"/>
      <c r="F211" s="1264"/>
    </row>
    <row r="212" spans="1:7" ht="14.25">
      <c r="A212" s="176"/>
      <c r="B212" s="176"/>
      <c r="D212" s="1282" t="s">
        <v>907</v>
      </c>
      <c r="E212" s="1282"/>
      <c r="F212" s="1282"/>
    </row>
    <row r="213" spans="1:7" ht="14.25">
      <c r="A213" s="176"/>
      <c r="B213" s="176"/>
      <c r="D213" s="35"/>
      <c r="E213" s="35"/>
      <c r="F213" s="35"/>
    </row>
    <row r="214" spans="1:7" ht="14.45" customHeight="1">
      <c r="A214" s="176"/>
      <c r="B214" s="468" t="s">
        <v>307</v>
      </c>
      <c r="D214" s="1264" t="s">
        <v>1200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1199</v>
      </c>
      <c r="E220" s="1264"/>
      <c r="F220" s="1264"/>
    </row>
    <row r="221" spans="1:7" ht="14.25">
      <c r="A221" s="176"/>
      <c r="B221" s="176"/>
      <c r="D221" s="1264"/>
      <c r="E221" s="1264"/>
      <c r="F221" s="1264"/>
    </row>
    <row r="222" spans="1:7">
      <c r="D222" s="19"/>
    </row>
    <row r="223" spans="1:7">
      <c r="A223" s="1285" t="s">
        <v>1073</v>
      </c>
      <c r="B223" s="1285"/>
      <c r="C223" s="1285"/>
      <c r="D223" s="1285"/>
      <c r="E223" s="1285"/>
      <c r="F223" s="1285"/>
      <c r="G223" s="1285"/>
    </row>
    <row r="224" spans="1:7">
      <c r="D224" s="19"/>
    </row>
    <row r="225" spans="1:6">
      <c r="C225" s="177"/>
      <c r="D225" s="1283" t="s">
        <v>1202</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1203</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1204</v>
      </c>
      <c r="E231" s="1264"/>
      <c r="F231" s="1264"/>
    </row>
    <row r="232" spans="1:6">
      <c r="D232" s="1264"/>
      <c r="E232" s="1264"/>
      <c r="F232" s="1264"/>
    </row>
    <row r="233" spans="1:6">
      <c r="D233" s="1290" t="s">
        <v>899</v>
      </c>
      <c r="E233" s="1290"/>
      <c r="F233" s="1290"/>
    </row>
    <row r="234" spans="1:6">
      <c r="D234" s="35"/>
      <c r="E234" s="35"/>
      <c r="F234" s="35"/>
    </row>
    <row r="235" spans="1:6" ht="14.45" customHeight="1">
      <c r="A235" s="176"/>
      <c r="B235" s="468" t="s">
        <v>307</v>
      </c>
      <c r="D235" s="1264" t="s">
        <v>1206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1205</v>
      </c>
      <c r="E241" s="1264"/>
      <c r="F241" s="1264"/>
    </row>
    <row r="242" spans="1:7">
      <c r="D242" s="1264"/>
      <c r="E242" s="1264"/>
      <c r="F242" s="1264"/>
    </row>
    <row r="243" spans="1:7">
      <c r="D243" s="1264"/>
      <c r="E243" s="1264"/>
      <c r="F243" s="1264"/>
    </row>
    <row r="244" spans="1:7">
      <c r="D244" s="178"/>
      <c r="E244" s="35"/>
      <c r="F244" s="35"/>
    </row>
    <row r="245" spans="1:7">
      <c r="A245" s="1285" t="s">
        <v>1074</v>
      </c>
      <c r="B245" s="1285"/>
      <c r="C245" s="1285"/>
      <c r="D245" s="1285"/>
      <c r="E245" s="1285"/>
      <c r="F245" s="1285"/>
      <c r="G245" s="1285"/>
    </row>
    <row r="246" spans="1:7">
      <c r="D246" s="178"/>
      <c r="E246" s="35"/>
      <c r="F246" s="35"/>
    </row>
    <row r="247" spans="1:7">
      <c r="C247" s="172"/>
      <c r="D247" s="1296" t="s">
        <v>1207</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1208</v>
      </c>
      <c r="E251" s="1289"/>
      <c r="F251" s="1289"/>
    </row>
    <row r="252" spans="1:7">
      <c r="E252" s="35"/>
      <c r="F252" s="35"/>
    </row>
    <row r="253" spans="1:7" ht="14.25">
      <c r="A253" s="176"/>
      <c r="B253" s="468" t="s">
        <v>307</v>
      </c>
      <c r="D253" s="1264" t="s">
        <v>1209</v>
      </c>
      <c r="E253" s="1264"/>
      <c r="F253" s="1264"/>
    </row>
    <row r="254" spans="1:7" ht="14.25">
      <c r="A254" s="176"/>
      <c r="B254" s="176"/>
      <c r="D254" s="1264"/>
      <c r="E254" s="1264"/>
      <c r="F254" s="1264"/>
    </row>
    <row r="255" spans="1:7">
      <c r="D255" s="35"/>
      <c r="E255" s="35"/>
      <c r="F255" s="35"/>
    </row>
    <row r="256" spans="1:7" ht="14.25">
      <c r="A256" s="176"/>
      <c r="B256" s="468" t="s">
        <v>307</v>
      </c>
      <c r="D256" s="1264" t="s">
        <v>1210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1211</v>
      </c>
      <c r="E260" s="1264"/>
      <c r="F260" s="1264"/>
    </row>
    <row r="261" spans="1:7" ht="14.25">
      <c r="A261" s="176"/>
      <c r="B261" s="176"/>
      <c r="D261" s="1264"/>
      <c r="E261" s="1264"/>
      <c r="F261" s="1264"/>
    </row>
    <row r="262" spans="1:7">
      <c r="A262" s="13"/>
      <c r="B262" s="13"/>
      <c r="E262" s="35"/>
      <c r="F262" s="35"/>
    </row>
    <row r="263" spans="1:7">
      <c r="A263" s="1285" t="s">
        <v>1075</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1212</v>
      </c>
      <c r="E266" s="1284"/>
      <c r="F266" s="1284"/>
    </row>
    <row r="267" spans="1:7">
      <c r="C267" s="13"/>
      <c r="D267" s="173"/>
    </row>
    <row r="268" spans="1:7">
      <c r="B268" s="468" t="s">
        <v>307</v>
      </c>
      <c r="D268" s="1284" t="s">
        <v>1213</v>
      </c>
      <c r="E268" s="1284"/>
      <c r="F268" s="1284"/>
    </row>
    <row r="269" spans="1:7" ht="14.25">
      <c r="A269" s="176"/>
      <c r="B269" s="176"/>
      <c r="D269" s="341"/>
      <c r="E269" s="342"/>
      <c r="F269" s="342"/>
    </row>
    <row r="270" spans="1:7" ht="13.15" customHeight="1">
      <c r="B270" s="468" t="s">
        <v>307</v>
      </c>
      <c r="D270" s="1314" t="s">
        <v>1214</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1215</v>
      </c>
      <c r="E276" s="1314"/>
      <c r="F276" s="1314"/>
    </row>
    <row r="277" spans="1:6">
      <c r="D277" s="1314"/>
      <c r="E277" s="1314"/>
      <c r="F277" s="1314"/>
    </row>
    <row r="278" spans="1:6" ht="14.25">
      <c r="A278" s="176"/>
      <c r="B278" s="176"/>
      <c r="D278" s="341"/>
      <c r="E278" s="342"/>
      <c r="F278" s="342"/>
    </row>
    <row r="279" spans="1:6">
      <c r="B279" s="468" t="s">
        <v>307</v>
      </c>
      <c r="D279" s="1284" t="s">
        <v>1216</v>
      </c>
      <c r="E279" s="1284"/>
      <c r="F279" s="1284"/>
    </row>
    <row r="280" spans="1:6">
      <c r="E280" s="35"/>
      <c r="F280" s="35"/>
    </row>
    <row r="281" spans="1:6" ht="14.25">
      <c r="A281" s="176"/>
      <c r="B281" s="468" t="s">
        <v>307</v>
      </c>
      <c r="D281" s="1264" t="s">
        <v>1217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1218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1219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996</v>
      </c>
      <c r="E314" s="1310"/>
      <c r="F314" s="1310"/>
      <c r="G314"/>
    </row>
    <row r="315" spans="1:7" ht="13.5" thickTop="1">
      <c r="D315" s="1311" t="s">
        <v>1220</v>
      </c>
      <c r="E315" s="1311"/>
      <c r="F315" s="1311"/>
      <c r="G315"/>
    </row>
    <row r="316" spans="1:7">
      <c r="A316" s="218"/>
      <c r="B316" s="218"/>
      <c r="C316" s="218"/>
      <c r="D316" s="220"/>
      <c r="E316" s="220"/>
      <c r="F316" s="35"/>
      <c r="G316"/>
    </row>
    <row r="317" spans="1:7" ht="14.25">
      <c r="A317" s="176"/>
      <c r="B317" s="468" t="s">
        <v>307</v>
      </c>
      <c r="C317" s="218"/>
      <c r="D317" s="1312" t="s">
        <v>1221</v>
      </c>
      <c r="E317" s="1312"/>
      <c r="F317" s="1312"/>
      <c r="G317"/>
    </row>
    <row r="318" spans="1:7">
      <c r="A318" s="218"/>
      <c r="B318" s="218"/>
      <c r="C318" s="218"/>
      <c r="D318" s="220"/>
      <c r="E318" s="220"/>
      <c r="F318" s="35"/>
      <c r="G318"/>
    </row>
    <row r="319" spans="1:7">
      <c r="A319" s="218"/>
      <c r="B319" s="468" t="s">
        <v>307</v>
      </c>
      <c r="C319" s="218"/>
      <c r="D319" s="1267" t="s">
        <v>1222</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1223</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1224</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1225</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1226</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1227</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1228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1229</v>
      </c>
      <c r="E405" s="1284"/>
      <c r="F405" s="1284"/>
    </row>
    <row r="406" spans="1:7">
      <c r="D406" s="1309" t="s">
        <v>1004</v>
      </c>
      <c r="E406" s="1309"/>
      <c r="F406" s="1309"/>
    </row>
    <row r="407" spans="1:7">
      <c r="D407" s="1264" t="s">
        <v>1230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1231</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1232</v>
      </c>
      <c r="E416" s="1264"/>
      <c r="F416" s="1264"/>
      <c r="G416"/>
    </row>
    <row r="417" spans="1:7">
      <c r="D417" s="1264"/>
      <c r="E417" s="1264"/>
      <c r="F417" s="1264"/>
      <c r="G417"/>
    </row>
    <row r="418" spans="1:7">
      <c r="D418" s="35"/>
      <c r="E418" s="35"/>
      <c r="F418" s="35"/>
      <c r="G418"/>
    </row>
    <row r="419" spans="1:7" ht="14.25">
      <c r="B419" s="468" t="s">
        <v>307</v>
      </c>
      <c r="C419" s="176"/>
      <c r="D419" s="1264" t="s">
        <v>1233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1235</v>
      </c>
      <c r="E440" s="1284"/>
      <c r="F440" s="1284"/>
    </row>
    <row r="441" spans="1:7">
      <c r="A441" s="35"/>
      <c r="B441" s="35"/>
    </row>
    <row r="442" spans="1:7">
      <c r="A442" s="1285" t="s">
        <v>1076</v>
      </c>
      <c r="B442" s="1285"/>
      <c r="C442" s="1285"/>
      <c r="D442" s="1285"/>
      <c r="E442" s="1285"/>
      <c r="F442" s="1285"/>
      <c r="G442" s="1285"/>
    </row>
    <row r="443" spans="1:7">
      <c r="A443" s="35"/>
      <c r="B443" s="35"/>
    </row>
    <row r="444" spans="1:7">
      <c r="D444" s="1315" t="s">
        <v>893</v>
      </c>
      <c r="E444" s="1315"/>
      <c r="F444" s="1315"/>
    </row>
    <row r="445" spans="1:7" ht="14.25">
      <c r="A445" s="176"/>
      <c r="B445" s="176"/>
      <c r="D445" s="1312" t="s">
        <v>1236</v>
      </c>
      <c r="E445" s="1312"/>
      <c r="F445" s="1312"/>
    </row>
    <row r="446" spans="1:7" ht="14.25">
      <c r="A446" s="176"/>
      <c r="B446" s="176"/>
      <c r="D446" s="481"/>
      <c r="E446" s="3"/>
      <c r="F446" s="3"/>
    </row>
    <row r="447" spans="1:7" ht="14.25">
      <c r="A447" s="176"/>
      <c r="B447" s="468" t="s">
        <v>307</v>
      </c>
      <c r="D447" s="1267" t="s">
        <v>1237</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1238</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1239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1240</v>
      </c>
      <c r="E459" s="1284"/>
      <c r="F459" s="1284"/>
      <c r="G459"/>
    </row>
    <row r="460" spans="1:7" ht="14.25">
      <c r="A460" s="176"/>
      <c r="B460" s="176"/>
      <c r="D460" s="118"/>
      <c r="E460" s="3"/>
      <c r="F460" s="3"/>
      <c r="G460"/>
    </row>
    <row r="461" spans="1:7" ht="14.25">
      <c r="A461" s="176"/>
      <c r="B461" s="468" t="s">
        <v>307</v>
      </c>
      <c r="D461" s="1264" t="s">
        <v>1241</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1242</v>
      </c>
      <c r="E464" s="1284"/>
      <c r="F464" s="1284"/>
      <c r="G464"/>
    </row>
    <row r="465" spans="1:7" ht="14.25">
      <c r="A465" s="176"/>
      <c r="B465" s="176"/>
      <c r="D465" s="35"/>
    </row>
    <row r="466" spans="1:7">
      <c r="A466" s="1285" t="s">
        <v>1077</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1120</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1111</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1114</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1112</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1113</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1257</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1115</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1078</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1079</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1136</v>
      </c>
      <c r="E517" s="1284"/>
      <c r="F517" s="1284"/>
    </row>
    <row r="518" spans="1:7">
      <c r="C518" s="179"/>
      <c r="D518" s="118"/>
      <c r="E518" s="118"/>
      <c r="F518" s="118"/>
    </row>
    <row r="519" spans="1:7" ht="13.15" customHeight="1">
      <c r="A519" s="176"/>
      <c r="B519" s="468" t="s">
        <v>307</v>
      </c>
      <c r="C519" s="179"/>
      <c r="D519" s="1284" t="s">
        <v>894</v>
      </c>
      <c r="E519" s="1284"/>
      <c r="F519" s="1284"/>
      <c r="G519"/>
    </row>
    <row r="520" spans="1:7" ht="13.15" customHeight="1">
      <c r="A520" s="179"/>
      <c r="B520" s="179"/>
      <c r="C520" s="179"/>
      <c r="D520" s="118"/>
      <c r="E520"/>
      <c r="F520"/>
      <c r="G520"/>
    </row>
    <row r="521" spans="1:7" ht="14.25">
      <c r="A521" s="176"/>
      <c r="B521" s="468" t="s">
        <v>307</v>
      </c>
      <c r="C521" s="179"/>
      <c r="D521" s="1264" t="s">
        <v>1137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1138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1139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1258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1143</v>
      </c>
      <c r="E543" s="1284"/>
      <c r="F543" s="1284"/>
    </row>
    <row r="544" spans="1:7">
      <c r="A544" s="13"/>
      <c r="B544" s="13"/>
      <c r="C544" s="179"/>
      <c r="D544" s="1284" t="s">
        <v>829</v>
      </c>
      <c r="E544" s="1284"/>
      <c r="F544" s="1284"/>
    </row>
    <row r="545" spans="1:7">
      <c r="A545" s="13"/>
      <c r="B545" s="13"/>
      <c r="C545" s="179"/>
      <c r="D545" s="3"/>
      <c r="E545" s="1289" t="s">
        <v>1144</v>
      </c>
      <c r="F545" s="1289"/>
    </row>
    <row r="546" spans="1:7" ht="14.25">
      <c r="A546" s="176"/>
      <c r="B546" s="176"/>
      <c r="C546" s="179"/>
      <c r="E546" s="35"/>
      <c r="F546" s="35"/>
    </row>
    <row r="547" spans="1:7" ht="14.25">
      <c r="A547" s="176"/>
      <c r="B547" s="468" t="s">
        <v>307</v>
      </c>
      <c r="C547" s="179"/>
      <c r="D547" s="1284" t="s">
        <v>1145</v>
      </c>
      <c r="E547" s="1284"/>
      <c r="F547" s="1284"/>
    </row>
    <row r="548" spans="1:7">
      <c r="C548" s="179"/>
      <c r="D548" s="1264" t="s">
        <v>1146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1080</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1096</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1097</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1098</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1099</v>
      </c>
      <c r="E573" s="1301"/>
      <c r="F573" s="1301"/>
    </row>
    <row r="574" spans="1:6">
      <c r="A574" s="13"/>
      <c r="B574" s="13"/>
      <c r="D574" s="1301"/>
      <c r="E574" s="1301"/>
      <c r="F574" s="1301"/>
    </row>
    <row r="575" spans="1:6">
      <c r="A575" s="13"/>
      <c r="B575" s="13"/>
      <c r="D575" s="255"/>
    </row>
    <row r="576" spans="1:6">
      <c r="A576" s="13"/>
      <c r="B576" s="468" t="s">
        <v>307</v>
      </c>
      <c r="D576" s="1301" t="s">
        <v>1100</v>
      </c>
      <c r="E576" s="1301"/>
      <c r="F576" s="1301"/>
    </row>
    <row r="577" spans="1:7">
      <c r="A577" s="13"/>
      <c r="B577" s="13"/>
      <c r="D577" s="1301"/>
      <c r="E577" s="1301"/>
      <c r="F577" s="1301"/>
    </row>
    <row r="578" spans="1:7">
      <c r="A578" s="13"/>
      <c r="B578" s="13"/>
      <c r="D578" s="255"/>
    </row>
    <row r="579" spans="1:7" ht="14.25">
      <c r="A579" s="176"/>
      <c r="B579" s="468" t="s">
        <v>307</v>
      </c>
      <c r="D579" s="1301" t="s">
        <v>895</v>
      </c>
      <c r="E579" s="1301"/>
      <c r="F579" s="1301"/>
    </row>
    <row r="580" spans="1:7" ht="14.25">
      <c r="A580" s="176"/>
      <c r="B580" s="176"/>
      <c r="D580" s="255"/>
    </row>
    <row r="581" spans="1:7" ht="14.25">
      <c r="A581" s="176"/>
      <c r="B581" s="468" t="s">
        <v>307</v>
      </c>
      <c r="D581" s="1301" t="s">
        <v>1101</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1081</v>
      </c>
      <c r="B588" s="1285"/>
      <c r="C588" s="1285"/>
      <c r="D588" s="1285"/>
      <c r="E588" s="1285"/>
      <c r="F588" s="1285"/>
      <c r="G588" s="1285"/>
    </row>
    <row r="589" spans="1:7"/>
    <row r="590" spans="1:7">
      <c r="D590" s="1277" t="s">
        <v>1181</v>
      </c>
      <c r="E590" s="1277"/>
      <c r="F590" s="1277"/>
    </row>
    <row r="591" spans="1:7">
      <c r="D591" s="1278" t="s">
        <v>1182</v>
      </c>
      <c r="E591" s="1278"/>
      <c r="F591" s="1278"/>
    </row>
    <row r="592" spans="1:7">
      <c r="D592" s="478"/>
      <c r="E592" s="433"/>
      <c r="F592" s="433"/>
    </row>
    <row r="593" spans="1:7" ht="14.25">
      <c r="A593" s="176"/>
      <c r="B593" s="468" t="s">
        <v>307</v>
      </c>
      <c r="D593" s="1279" t="s">
        <v>1183</v>
      </c>
      <c r="E593" s="1279"/>
      <c r="F593" s="1279"/>
    </row>
    <row r="594" spans="1:7">
      <c r="D594" s="1279"/>
      <c r="E594" s="1279"/>
      <c r="F594" s="1279"/>
    </row>
    <row r="595" spans="1:7">
      <c r="D595" s="1279"/>
      <c r="E595" s="1279"/>
      <c r="F595" s="1279"/>
    </row>
    <row r="596" spans="1:7"/>
    <row r="597" spans="1:7">
      <c r="A597" s="1285" t="s">
        <v>1082</v>
      </c>
      <c r="B597" s="1285"/>
      <c r="C597" s="1285"/>
      <c r="D597" s="1285"/>
      <c r="E597" s="1285"/>
      <c r="F597" s="1285"/>
      <c r="G597" s="1285"/>
    </row>
    <row r="598" spans="1:7">
      <c r="A598" s="35"/>
      <c r="B598" s="35"/>
    </row>
    <row r="599" spans="1:7">
      <c r="A599" s="172"/>
      <c r="B599" s="172"/>
      <c r="C599" s="172"/>
      <c r="D599" s="1280" t="s">
        <v>1184</v>
      </c>
      <c r="E599" s="1280"/>
      <c r="F599" s="1280"/>
    </row>
    <row r="600" spans="1:7">
      <c r="A600" s="172"/>
      <c r="B600" s="172"/>
      <c r="C600" s="172"/>
      <c r="D600" s="1280"/>
      <c r="E600" s="1280"/>
      <c r="F600" s="1280"/>
    </row>
    <row r="601" spans="1:7">
      <c r="C601" s="175"/>
      <c r="D601" s="1278" t="s">
        <v>1185</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1186</v>
      </c>
      <c r="E605" s="1281"/>
      <c r="F605" s="1281"/>
    </row>
    <row r="606" spans="1:7">
      <c r="D606" s="1281"/>
      <c r="E606" s="1281"/>
      <c r="F606" s="1281"/>
    </row>
    <row r="607" spans="1:7">
      <c r="D607"/>
    </row>
    <row r="608" spans="1:7">
      <c r="B608" s="468" t="s">
        <v>307</v>
      </c>
      <c r="D608" s="1281" t="s">
        <v>1187</v>
      </c>
      <c r="E608" s="1281"/>
      <c r="F608" s="1281"/>
    </row>
    <row r="609" spans="1:7">
      <c r="C609" s="180"/>
      <c r="D609" s="1281"/>
      <c r="E609" s="1281"/>
      <c r="F609" s="1281"/>
    </row>
    <row r="610" spans="1:7">
      <c r="C610" s="180"/>
    </row>
    <row r="611" spans="1:7">
      <c r="B611" s="468" t="s">
        <v>307</v>
      </c>
      <c r="C611" s="180"/>
      <c r="D611" s="1281" t="s">
        <v>1188</v>
      </c>
      <c r="E611" s="1281"/>
      <c r="F611" s="1281"/>
    </row>
    <row r="612" spans="1:7">
      <c r="C612" s="180"/>
      <c r="D612" s="1281"/>
      <c r="E612" s="1281"/>
      <c r="F612" s="1281"/>
    </row>
    <row r="613" spans="1:7">
      <c r="C613" s="180"/>
    </row>
    <row r="614" spans="1:7">
      <c r="A614" s="1285" t="s">
        <v>1083</v>
      </c>
      <c r="B614" s="1285"/>
      <c r="C614" s="1285"/>
      <c r="D614" s="1285"/>
      <c r="E614" s="1285"/>
      <c r="F614" s="1285"/>
      <c r="G614" s="1285"/>
    </row>
    <row r="615" spans="1:7">
      <c r="A615" s="172"/>
      <c r="B615" s="172"/>
      <c r="C615" s="172"/>
    </row>
    <row r="616" spans="1:7">
      <c r="C616" s="13"/>
      <c r="D616" s="1277" t="s">
        <v>1189</v>
      </c>
      <c r="E616" s="1277"/>
      <c r="F616" s="1277"/>
    </row>
    <row r="617" spans="1:7">
      <c r="A617" s="13"/>
      <c r="B617" s="13"/>
      <c r="D617" s="2"/>
    </row>
    <row r="618" spans="1:7" ht="14.25">
      <c r="A618" s="176"/>
      <c r="B618" s="468" t="s">
        <v>307</v>
      </c>
      <c r="D618" s="1279" t="s">
        <v>1190</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1191</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1192</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1193</v>
      </c>
      <c r="E633" s="1308"/>
      <c r="F633" s="1308"/>
    </row>
    <row r="634" spans="1:7">
      <c r="A634" s="179"/>
      <c r="B634" s="179"/>
      <c r="C634" s="179"/>
      <c r="D634" s="480"/>
      <c r="E634" s="480"/>
      <c r="F634" s="480"/>
    </row>
    <row r="635" spans="1:7">
      <c r="A635" s="1285" t="s">
        <v>1084</v>
      </c>
      <c r="B635" s="1285"/>
      <c r="C635" s="1285"/>
      <c r="D635" s="1285"/>
      <c r="E635" s="1285"/>
      <c r="F635" s="1285"/>
      <c r="G635" s="1285"/>
    </row>
    <row r="636" spans="1:7">
      <c r="A636" s="35"/>
      <c r="B636" s="35"/>
      <c r="C636" s="179"/>
      <c r="D636" s="35"/>
      <c r="E636" s="35"/>
      <c r="F636" s="35"/>
    </row>
    <row r="637" spans="1:7">
      <c r="C637" s="172"/>
      <c r="D637" s="1283" t="s">
        <v>1243</v>
      </c>
      <c r="E637" s="1283"/>
      <c r="F637" s="1283"/>
    </row>
    <row r="638" spans="1:7">
      <c r="A638" s="175"/>
      <c r="B638" s="175"/>
      <c r="C638" s="175"/>
      <c r="D638" s="1284" t="s">
        <v>1244</v>
      </c>
      <c r="E638" s="1284"/>
      <c r="F638" s="1284"/>
    </row>
    <row r="639" spans="1:7">
      <c r="A639" s="175"/>
      <c r="B639" s="175"/>
      <c r="C639" s="175"/>
      <c r="D639" s="118"/>
      <c r="E639" s="118"/>
      <c r="F639" s="118"/>
    </row>
    <row r="640" spans="1:7" ht="14.45" customHeight="1">
      <c r="A640" s="176"/>
      <c r="B640" s="468" t="s">
        <v>307</v>
      </c>
      <c r="C640" s="179"/>
      <c r="D640" s="1264" t="s">
        <v>1245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1095</v>
      </c>
      <c r="E646" s="1298"/>
      <c r="F646" s="1298"/>
    </row>
    <row r="647" spans="1:11" ht="14.25">
      <c r="A647" s="176"/>
      <c r="B647" s="176"/>
      <c r="C647" s="179"/>
      <c r="D647" s="1297" t="s">
        <v>1246</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1247</v>
      </c>
      <c r="E652" s="1299"/>
      <c r="F652" s="1299"/>
    </row>
    <row r="653" spans="1:11">
      <c r="A653" s="179"/>
      <c r="B653" s="179"/>
      <c r="C653" s="179"/>
      <c r="D653" s="35"/>
      <c r="E653" s="35"/>
      <c r="F653" s="35"/>
    </row>
    <row r="654" spans="1:11">
      <c r="A654" s="1285" t="s">
        <v>1085</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1121</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1122</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934</v>
      </c>
      <c r="E669" s="1284"/>
      <c r="F669" s="1284"/>
      <c r="H669" s="181"/>
      <c r="I669" s="181"/>
      <c r="J669" s="181"/>
      <c r="K669" s="181"/>
    </row>
    <row r="670" spans="1:11" ht="14.25">
      <c r="A670" s="176"/>
      <c r="B670" s="176"/>
      <c r="C670" s="175"/>
      <c r="D670" s="1284" t="s">
        <v>906</v>
      </c>
      <c r="E670" s="1284"/>
      <c r="F670" s="1284"/>
      <c r="H670" s="181"/>
      <c r="I670" s="181"/>
      <c r="J670" s="181"/>
      <c r="K670" s="181"/>
    </row>
    <row r="671" spans="1:11">
      <c r="A671" s="175"/>
      <c r="B671" s="175"/>
      <c r="C671" s="175"/>
      <c r="D671" s="3"/>
      <c r="E671" s="1289" t="s">
        <v>1124</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1128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1129</v>
      </c>
      <c r="E724" s="1291"/>
      <c r="F724" s="1291"/>
      <c r="H724" s="181"/>
      <c r="I724" s="181"/>
      <c r="J724" s="181"/>
      <c r="K724" s="181"/>
    </row>
    <row r="725" spans="1:11">
      <c r="A725" s="175"/>
      <c r="B725" s="175"/>
      <c r="C725" s="175"/>
      <c r="D725" s="369"/>
      <c r="H725" s="181"/>
      <c r="I725" s="181"/>
      <c r="J725" s="181"/>
      <c r="K725" s="181"/>
    </row>
    <row r="726" spans="1:11">
      <c r="A726" s="1286" t="s">
        <v>1086</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1102</v>
      </c>
      <c r="E728" s="1296"/>
      <c r="F728" s="1296"/>
      <c r="G728" s="183"/>
      <c r="H728" s="181"/>
      <c r="I728" s="181"/>
      <c r="J728" s="181"/>
      <c r="K728" s="181"/>
    </row>
    <row r="729" spans="1:11">
      <c r="A729" s="175"/>
      <c r="B729" s="175"/>
      <c r="C729" s="175"/>
      <c r="D729" s="1288" t="s">
        <v>1103</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1106</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1107</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1109</v>
      </c>
      <c r="B754" s="1285"/>
      <c r="C754" s="1285"/>
      <c r="D754" s="1285"/>
      <c r="E754" s="1285"/>
      <c r="F754" s="1285"/>
      <c r="G754" s="1285"/>
    </row>
    <row r="755" spans="1:11">
      <c r="A755" s="175"/>
      <c r="B755" s="175"/>
      <c r="C755" s="175"/>
      <c r="D755" s="184"/>
      <c r="F755" s="35"/>
      <c r="G755" s="183"/>
    </row>
    <row r="756" spans="1:11">
      <c r="D756" s="1293" t="s">
        <v>1093</v>
      </c>
      <c r="E756" s="1293"/>
      <c r="F756" s="1293"/>
      <c r="G756" s="183"/>
    </row>
    <row r="757" spans="1:11">
      <c r="A757" s="345"/>
      <c r="B757" s="345"/>
      <c r="C757" s="345"/>
      <c r="D757" s="1294" t="s">
        <v>1110</v>
      </c>
      <c r="E757" s="1294"/>
      <c r="F757" s="1294"/>
      <c r="G757" s="183"/>
    </row>
    <row r="758" spans="1:11">
      <c r="D758" s="433"/>
      <c r="E758" s="433"/>
      <c r="F758" s="433"/>
      <c r="G758" s="183"/>
    </row>
    <row r="759" spans="1:11" ht="14.25">
      <c r="A759" s="176"/>
      <c r="B759" s="468" t="s">
        <v>307</v>
      </c>
      <c r="D759" s="1294" t="s">
        <v>1003</v>
      </c>
      <c r="E759" s="1294"/>
      <c r="F759" s="1294"/>
      <c r="G759" s="183"/>
    </row>
    <row r="760" spans="1:11">
      <c r="D760" s="433"/>
      <c r="E760" s="1295" t="s">
        <v>1094</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1002</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2054</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2057</v>
      </c>
      <c r="B9" s="447"/>
      <c r="C9" s="447"/>
      <c r="D9" s="447"/>
      <c r="E9" s="447"/>
      <c r="F9" s="447"/>
      <c r="G9" s="447"/>
      <c r="H9" s="447"/>
      <c r="I9" s="447"/>
      <c r="J9" s="447"/>
    </row>
    <row r="10" spans="1:10" ht="12.75"/>
    <row r="11" spans="1:10" ht="12.75" customHeight="1">
      <c r="A11" s="1323" t="s">
        <v>2059</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2058</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1293</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1294</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2055</v>
      </c>
      <c r="B72" s="1320"/>
      <c r="C72" s="1320"/>
      <c r="D72" s="1320"/>
      <c r="E72" s="1320"/>
      <c r="F72" s="1320"/>
      <c r="G72" s="1320"/>
      <c r="H72" s="1320"/>
      <c r="I72" s="1320"/>
    </row>
    <row r="73" spans="1:9" ht="12.75">
      <c r="A73" s="1271" t="s">
        <v>2348</v>
      </c>
      <c r="B73" s="1271"/>
      <c r="C73" s="1271"/>
      <c r="D73" s="1271"/>
      <c r="E73" s="1271"/>
    </row>
    <row r="74" spans="1:9" ht="12.75">
      <c r="A74" s="1271" t="s">
        <v>2349</v>
      </c>
      <c r="B74" s="1271"/>
      <c r="C74" s="1271"/>
      <c r="D74" s="1271"/>
      <c r="E74" s="1271"/>
    </row>
    <row r="75" spans="1:9" ht="12.75">
      <c r="A75" s="1271" t="s">
        <v>2056</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797" zoomScale="130" zoomScaleNormal="130" zoomScaleSheetLayoutView="70" workbookViewId="0">
      <selection activeCell="B804" sqref="B804"/>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2572</v>
      </c>
      <c r="B2" s="1324"/>
      <c r="C2" s="1324"/>
      <c r="D2" s="1324"/>
      <c r="E2" s="1324"/>
      <c r="F2" s="1324"/>
      <c r="G2" s="1324"/>
      <c r="H2" s="1324"/>
      <c r="I2" s="1324"/>
    </row>
    <row r="3" spans="1:13">
      <c r="A3" s="1325" t="s">
        <v>2617</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2616</v>
      </c>
      <c r="B6" s="1339"/>
      <c r="C6" s="1339"/>
      <c r="D6" s="1339"/>
      <c r="E6" s="1339"/>
      <c r="F6" s="1339"/>
      <c r="G6" s="1339"/>
      <c r="I6" s="524" t="s">
        <v>2065</v>
      </c>
    </row>
    <row r="7" spans="1:13">
      <c r="A7" s="1339"/>
      <c r="B7" s="1339"/>
      <c r="C7" s="1339"/>
      <c r="D7" s="1339"/>
      <c r="E7" s="1339"/>
      <c r="F7" s="1339"/>
      <c r="G7" s="1339"/>
      <c r="I7" s="524" t="s">
        <v>2066</v>
      </c>
    </row>
    <row r="8" spans="1:13">
      <c r="A8" s="515"/>
      <c r="B8" s="515"/>
      <c r="C8" s="516"/>
      <c r="D8" s="516"/>
      <c r="E8" s="516"/>
      <c r="F8" s="516"/>
    </row>
    <row r="9" spans="1:13">
      <c r="A9" s="1285" t="s">
        <v>1166</v>
      </c>
      <c r="B9" s="1285"/>
      <c r="C9" s="1285"/>
      <c r="D9" s="1285"/>
      <c r="E9" s="1285"/>
      <c r="F9" s="1285"/>
      <c r="G9" s="1285"/>
      <c r="H9" s="1060"/>
      <c r="I9" s="1061"/>
    </row>
    <row r="10" spans="1:13">
      <c r="A10" s="516"/>
      <c r="B10" s="516"/>
      <c r="E10" s="435"/>
    </row>
    <row r="11" spans="1:13" ht="13.7" customHeight="1">
      <c r="C11" s="516"/>
      <c r="D11" s="1338" t="s">
        <v>1165</v>
      </c>
      <c r="E11" s="1338"/>
      <c r="F11" s="1338"/>
    </row>
    <row r="12" spans="1:13">
      <c r="C12" s="516"/>
      <c r="D12" s="1338"/>
      <c r="E12" s="1338"/>
      <c r="F12" s="1338"/>
    </row>
    <row r="13" spans="1:13">
      <c r="A13" s="517"/>
      <c r="B13" s="517"/>
      <c r="C13" s="517"/>
      <c r="D13" s="1308" t="s">
        <v>1148</v>
      </c>
      <c r="E13" s="1308"/>
      <c r="F13" s="1308"/>
      <c r="M13" s="96"/>
    </row>
    <row r="14" spans="1:13">
      <c r="A14" s="517"/>
      <c r="B14" s="517"/>
      <c r="C14" s="517"/>
      <c r="D14" s="510"/>
      <c r="L14" s="336"/>
    </row>
    <row r="15" spans="1:13" ht="14.25">
      <c r="A15" s="518"/>
      <c r="B15" s="519" t="s">
        <v>2627</v>
      </c>
      <c r="C15" s="517"/>
      <c r="D15" s="1279" t="s">
        <v>2211</v>
      </c>
      <c r="E15" s="1279"/>
      <c r="F15" s="1279"/>
      <c r="I15" s="524" t="s">
        <v>2067</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2209</v>
      </c>
      <c r="F18" s="479"/>
      <c r="I18" s="524"/>
    </row>
    <row r="19" spans="1:9">
      <c r="A19" s="517"/>
      <c r="B19" s="517"/>
      <c r="C19" s="517"/>
      <c r="I19" s="524"/>
    </row>
    <row r="20" spans="1:9" ht="14.25">
      <c r="A20" s="518"/>
      <c r="B20" s="519" t="s">
        <v>2626</v>
      </c>
      <c r="D20" s="1279" t="s">
        <v>2212</v>
      </c>
      <c r="E20" s="1279"/>
      <c r="F20" s="1279"/>
      <c r="I20" s="524" t="s">
        <v>2068</v>
      </c>
    </row>
    <row r="21" spans="1:9" ht="14.25">
      <c r="A21" s="518"/>
      <c r="D21" s="1279"/>
      <c r="E21" s="1279"/>
      <c r="F21" s="1279"/>
      <c r="I21" s="524"/>
    </row>
    <row r="22" spans="1:9" ht="14.25">
      <c r="A22" s="518"/>
      <c r="D22" s="423"/>
      <c r="E22" s="96" t="s">
        <v>2208</v>
      </c>
      <c r="F22" s="423"/>
      <c r="I22" s="524"/>
    </row>
    <row r="23" spans="1:9" ht="14.25">
      <c r="A23" s="518"/>
      <c r="B23" s="518"/>
      <c r="D23" s="480"/>
      <c r="I23" s="524"/>
    </row>
    <row r="24" spans="1:9" ht="14.25">
      <c r="A24" s="518"/>
      <c r="B24" s="519" t="s">
        <v>2627</v>
      </c>
      <c r="D24" s="1279" t="s">
        <v>1151</v>
      </c>
      <c r="E24" s="1279"/>
      <c r="F24" s="1279"/>
      <c r="I24" s="524" t="s">
        <v>2068</v>
      </c>
    </row>
    <row r="25" spans="1:9" ht="14.25">
      <c r="A25" s="518"/>
      <c r="B25" s="518"/>
      <c r="D25" s="1279"/>
      <c r="E25" s="1279"/>
      <c r="F25" s="1279"/>
      <c r="I25" s="524"/>
    </row>
    <row r="26" spans="1:9">
      <c r="I26" s="524"/>
    </row>
    <row r="27" spans="1:9" ht="14.25">
      <c r="A27" s="518"/>
      <c r="B27" s="519" t="s">
        <v>2626</v>
      </c>
      <c r="D27" s="1279" t="s">
        <v>2351</v>
      </c>
      <c r="E27" s="1279"/>
      <c r="F27" s="1279"/>
      <c r="I27" s="524" t="s">
        <v>2071</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2627</v>
      </c>
      <c r="D33" s="1279" t="s">
        <v>2352</v>
      </c>
      <c r="E33" s="1279"/>
      <c r="F33" s="1279"/>
      <c r="I33" s="524" t="s">
        <v>2067</v>
      </c>
    </row>
    <row r="34" spans="1:9">
      <c r="D34" s="1279"/>
      <c r="E34" s="1279"/>
      <c r="F34" s="1279"/>
      <c r="I34" s="524"/>
    </row>
    <row r="35" spans="1:9" ht="14.25">
      <c r="A35" s="518"/>
      <c r="B35" s="518"/>
      <c r="D35" s="481"/>
      <c r="I35" s="524"/>
    </row>
    <row r="36" spans="1:9" ht="14.45" customHeight="1">
      <c r="A36" s="518"/>
      <c r="B36" s="519" t="s">
        <v>2627</v>
      </c>
      <c r="D36" s="1279" t="s">
        <v>1318</v>
      </c>
      <c r="E36" s="1279"/>
      <c r="F36" s="1279"/>
      <c r="I36" s="524" t="s">
        <v>2138</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2627</v>
      </c>
      <c r="D41" s="1279" t="s">
        <v>1155</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2627</v>
      </c>
      <c r="D47" s="1279" t="s">
        <v>1156</v>
      </c>
      <c r="E47" s="1279"/>
      <c r="F47" s="1279"/>
      <c r="I47" s="524" t="s">
        <v>2138</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2627</v>
      </c>
      <c r="D52" s="1279" t="s">
        <v>1157</v>
      </c>
      <c r="E52" s="1279"/>
      <c r="F52" s="1279"/>
      <c r="I52" s="524" t="s">
        <v>2138</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2626</v>
      </c>
      <c r="D56" s="1335" t="s">
        <v>1158</v>
      </c>
      <c r="E56" s="1335"/>
      <c r="F56" s="1335"/>
      <c r="I56" s="524"/>
    </row>
    <row r="57" spans="1:9" ht="14.25">
      <c r="A57" s="518"/>
      <c r="B57" s="518"/>
      <c r="D57" s="1335"/>
      <c r="E57" s="1335"/>
      <c r="F57" s="1335"/>
      <c r="I57" s="524"/>
    </row>
    <row r="58" spans="1:9" ht="14.25">
      <c r="A58" s="518"/>
      <c r="B58" s="518"/>
      <c r="D58" s="423" t="s">
        <v>2210</v>
      </c>
      <c r="E58" s="479"/>
      <c r="F58" s="479"/>
      <c r="I58" s="524"/>
    </row>
    <row r="59" spans="1:9" ht="14.25">
      <c r="A59" s="518"/>
      <c r="B59" s="518"/>
      <c r="D59" s="479"/>
      <c r="E59" s="336" t="s">
        <v>2209</v>
      </c>
      <c r="F59" s="479"/>
      <c r="I59" s="524"/>
    </row>
    <row r="60" spans="1:9">
      <c r="D60" s="481"/>
      <c r="I60" s="524"/>
    </row>
    <row r="61" spans="1:9" ht="14.25">
      <c r="A61" s="518"/>
      <c r="B61" s="519" t="s">
        <v>2627</v>
      </c>
      <c r="D61" s="1279" t="s">
        <v>1159</v>
      </c>
      <c r="E61" s="1279"/>
      <c r="F61" s="1279"/>
      <c r="I61" s="524" t="s">
        <v>2069</v>
      </c>
    </row>
    <row r="62" spans="1:9">
      <c r="D62" s="1279"/>
      <c r="E62" s="1279"/>
      <c r="F62" s="1279"/>
      <c r="I62" s="524"/>
    </row>
    <row r="63" spans="1:9">
      <c r="D63" s="1279"/>
      <c r="E63" s="1279"/>
      <c r="F63" s="1279"/>
      <c r="I63" s="524"/>
    </row>
    <row r="64" spans="1:9">
      <c r="I64" s="524"/>
    </row>
    <row r="65" spans="1:9" ht="14.25">
      <c r="A65" s="518"/>
      <c r="B65" s="519" t="s">
        <v>2627</v>
      </c>
      <c r="D65" s="1279" t="s">
        <v>1160</v>
      </c>
      <c r="E65" s="1279"/>
      <c r="F65" s="1279"/>
      <c r="I65" s="524" t="s">
        <v>2070</v>
      </c>
    </row>
    <row r="66" spans="1:9">
      <c r="D66" s="1279"/>
      <c r="E66" s="1279"/>
      <c r="F66" s="1279"/>
      <c r="I66" s="524"/>
    </row>
    <row r="67" spans="1:9">
      <c r="I67" s="524"/>
    </row>
    <row r="68" spans="1:9" ht="14.25">
      <c r="A68" s="518"/>
      <c r="B68" s="519" t="s">
        <v>2626</v>
      </c>
      <c r="D68" s="1279" t="s">
        <v>1161</v>
      </c>
      <c r="E68" s="1279"/>
      <c r="F68" s="1279"/>
      <c r="I68" s="524"/>
    </row>
    <row r="69" spans="1:9">
      <c r="D69" s="1279"/>
      <c r="E69" s="1279"/>
      <c r="F69" s="1279"/>
      <c r="I69" s="524" t="s">
        <v>2071</v>
      </c>
    </row>
    <row r="70" spans="1:9">
      <c r="D70" s="1279"/>
      <c r="E70" s="1279"/>
      <c r="F70" s="1279"/>
      <c r="I70" s="524"/>
    </row>
    <row r="71" spans="1:9">
      <c r="I71" s="524"/>
    </row>
    <row r="72" spans="1:9" ht="14.25">
      <c r="A72" s="518"/>
      <c r="B72" s="519" t="s">
        <v>2626</v>
      </c>
      <c r="D72" s="1279" t="s">
        <v>1162</v>
      </c>
      <c r="E72" s="1279"/>
      <c r="F72" s="1279"/>
      <c r="I72" s="524" t="s">
        <v>2071</v>
      </c>
    </row>
    <row r="73" spans="1:9">
      <c r="D73" s="1279"/>
      <c r="E73" s="1279"/>
      <c r="F73" s="1279"/>
      <c r="I73" s="524"/>
    </row>
    <row r="74" spans="1:9" ht="14.25">
      <c r="A74" s="518"/>
      <c r="B74" s="518"/>
      <c r="D74" s="480"/>
      <c r="I74" s="524"/>
    </row>
    <row r="75" spans="1:9">
      <c r="A75" s="1285" t="s">
        <v>1069</v>
      </c>
      <c r="B75" s="1285"/>
      <c r="C75" s="1285"/>
      <c r="D75" s="1285"/>
      <c r="E75" s="1285"/>
      <c r="F75" s="1285"/>
      <c r="G75" s="1285"/>
      <c r="H75" s="1060"/>
      <c r="I75" s="1256"/>
    </row>
    <row r="76" spans="1:9">
      <c r="I76" s="524"/>
    </row>
    <row r="77" spans="1:9">
      <c r="C77" s="520"/>
      <c r="D77" s="1307" t="s">
        <v>1167</v>
      </c>
      <c r="E77" s="1307"/>
      <c r="F77" s="1307"/>
      <c r="I77" s="524"/>
    </row>
    <row r="78" spans="1:9">
      <c r="A78" s="480"/>
      <c r="B78" s="480"/>
      <c r="D78" s="1279" t="s">
        <v>1194</v>
      </c>
      <c r="E78" s="1279"/>
      <c r="F78" s="1279"/>
      <c r="I78" s="524"/>
    </row>
    <row r="79" spans="1:9">
      <c r="A79" s="480"/>
      <c r="B79" s="480"/>
      <c r="I79" s="524"/>
    </row>
    <row r="80" spans="1:9" ht="13.7" customHeight="1">
      <c r="A80" s="518"/>
      <c r="B80" s="519" t="s">
        <v>2626</v>
      </c>
      <c r="D80" s="1279" t="s">
        <v>1351</v>
      </c>
      <c r="E80" s="1279"/>
      <c r="F80" s="1279"/>
      <c r="I80" s="524" t="s">
        <v>2072</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2626</v>
      </c>
      <c r="D89" s="1279" t="s">
        <v>1926</v>
      </c>
      <c r="E89" s="1279"/>
      <c r="F89" s="1279"/>
      <c r="I89" s="524" t="s">
        <v>2073</v>
      </c>
    </row>
    <row r="90" spans="1:9" ht="14.25">
      <c r="A90" s="518"/>
      <c r="B90" s="518"/>
      <c r="D90" s="1279"/>
      <c r="E90" s="1279"/>
      <c r="F90" s="1279"/>
      <c r="I90" s="524"/>
    </row>
    <row r="91" spans="1:9" ht="14.25">
      <c r="A91" s="518"/>
      <c r="B91" s="518"/>
      <c r="D91" s="479"/>
      <c r="E91" s="479"/>
      <c r="F91" s="479"/>
      <c r="I91" s="524"/>
    </row>
    <row r="92" spans="1:9" ht="14.25">
      <c r="A92" s="518"/>
      <c r="B92" s="519" t="s">
        <v>2626</v>
      </c>
      <c r="D92" s="1279" t="s">
        <v>1929</v>
      </c>
      <c r="E92" s="1279"/>
      <c r="F92" s="1279"/>
      <c r="I92" s="524" t="s">
        <v>2074</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2626</v>
      </c>
      <c r="D96" s="1279" t="s">
        <v>1928</v>
      </c>
      <c r="E96" s="1279"/>
      <c r="F96" s="1279"/>
      <c r="I96" s="524" t="s">
        <v>2119</v>
      </c>
    </row>
    <row r="97" spans="1:9" s="1019" customFormat="1" ht="14.25">
      <c r="A97" s="1017"/>
      <c r="B97" s="1017"/>
      <c r="C97" s="1018"/>
      <c r="D97" s="1279"/>
      <c r="E97" s="1279"/>
      <c r="F97" s="1279"/>
      <c r="I97" s="1257"/>
    </row>
    <row r="98" spans="1:9" ht="14.25">
      <c r="A98" s="518"/>
      <c r="B98" s="518"/>
      <c r="D98" s="423"/>
      <c r="E98" s="336" t="s">
        <v>2213</v>
      </c>
      <c r="F98" s="479"/>
      <c r="I98" s="524"/>
    </row>
    <row r="99" spans="1:9" ht="14.25">
      <c r="A99" s="518"/>
      <c r="B99" s="518"/>
      <c r="D99" s="416"/>
      <c r="E99" s="416"/>
      <c r="F99" s="416"/>
      <c r="I99" s="524"/>
    </row>
    <row r="100" spans="1:9" ht="14.25">
      <c r="A100" s="518"/>
      <c r="B100" s="519" t="s">
        <v>2627</v>
      </c>
      <c r="D100" s="1279" t="s">
        <v>1927</v>
      </c>
      <c r="E100" s="1279"/>
      <c r="F100" s="1279"/>
      <c r="I100" s="524" t="s">
        <v>2075</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2627</v>
      </c>
      <c r="D103" s="1279" t="s">
        <v>1298</v>
      </c>
      <c r="E103" s="1279"/>
      <c r="F103" s="1279"/>
      <c r="I103" s="524" t="s">
        <v>2076</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2627</v>
      </c>
      <c r="D119" s="1306" t="s">
        <v>1169</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2626</v>
      </c>
      <c r="C128" s="433"/>
      <c r="D128" s="1306" t="s">
        <v>2353</v>
      </c>
      <c r="E128" s="1306"/>
      <c r="F128" s="1306"/>
      <c r="I128" s="524" t="s">
        <v>2077</v>
      </c>
    </row>
    <row r="129" spans="1:9" ht="14.25">
      <c r="A129" s="518"/>
      <c r="B129" s="518"/>
      <c r="C129" s="433"/>
      <c r="D129" s="1306"/>
      <c r="E129" s="1306"/>
      <c r="F129" s="1306"/>
      <c r="I129" s="524"/>
    </row>
    <row r="130" spans="1:9">
      <c r="I130" s="524"/>
    </row>
    <row r="131" spans="1:9" ht="14.25">
      <c r="A131" s="518"/>
      <c r="B131" s="519" t="s">
        <v>2626</v>
      </c>
      <c r="D131" s="1279" t="s">
        <v>1172</v>
      </c>
      <c r="E131" s="1279"/>
      <c r="F131" s="1279"/>
      <c r="I131" s="524" t="s">
        <v>2077</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2626</v>
      </c>
      <c r="D137" s="1279" t="s">
        <v>1173</v>
      </c>
      <c r="E137" s="1279"/>
      <c r="F137" s="1279"/>
      <c r="I137" s="524" t="s">
        <v>2078</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2627</v>
      </c>
      <c r="D151" s="1279" t="s">
        <v>1281</v>
      </c>
      <c r="E151" s="1279"/>
      <c r="F151" s="1279"/>
      <c r="I151" s="524" t="s">
        <v>2079</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2377</v>
      </c>
      <c r="E169" s="1337"/>
      <c r="F169" s="1337"/>
      <c r="G169" s="541"/>
      <c r="I169" s="524"/>
    </row>
    <row r="170" spans="1:9" ht="13.7" customHeight="1">
      <c r="D170" s="1312"/>
      <c r="E170" s="1312"/>
      <c r="F170" s="1312"/>
      <c r="G170" s="1312"/>
      <c r="I170" s="524"/>
    </row>
    <row r="171" spans="1:9" ht="14.45" customHeight="1">
      <c r="A171" s="523"/>
      <c r="B171" s="519" t="s">
        <v>2627</v>
      </c>
      <c r="C171" s="510"/>
      <c r="D171" s="1267" t="s">
        <v>2567</v>
      </c>
      <c r="E171" s="1267"/>
      <c r="F171" s="1267"/>
      <c r="G171" s="510"/>
      <c r="I171" s="524" t="s">
        <v>2074</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2626</v>
      </c>
      <c r="C177" s="510"/>
      <c r="D177" s="1267" t="s">
        <v>1175</v>
      </c>
      <c r="E177" s="1267"/>
      <c r="F177" s="1267"/>
      <c r="G177" s="510"/>
      <c r="I177" s="524" t="s">
        <v>2080</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2627</v>
      </c>
      <c r="D182" s="1301" t="s">
        <v>2354</v>
      </c>
      <c r="E182" s="1301"/>
      <c r="F182" s="1301"/>
      <c r="I182" s="524" t="s">
        <v>2081</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2355</v>
      </c>
      <c r="B186" s="1285"/>
      <c r="C186" s="1285"/>
      <c r="D186" s="1285"/>
      <c r="E186" s="1285"/>
      <c r="F186" s="1285"/>
      <c r="G186" s="1285"/>
      <c r="H186" s="1060"/>
      <c r="I186" s="1256"/>
    </row>
    <row r="187" spans="1:9" ht="12" customHeight="1">
      <c r="D187" s="480"/>
      <c r="E187" s="480"/>
      <c r="F187" s="480"/>
      <c r="I187" s="524"/>
    </row>
    <row r="188" spans="1:9">
      <c r="B188" s="1294" t="s">
        <v>448</v>
      </c>
      <c r="C188" s="1294"/>
      <c r="D188" s="1294"/>
      <c r="E188" s="1294"/>
      <c r="F188" s="1294"/>
      <c r="I188" s="524"/>
    </row>
    <row r="189" spans="1:9">
      <c r="B189" s="423" t="s">
        <v>2060</v>
      </c>
      <c r="C189" s="423"/>
      <c r="D189" s="423"/>
      <c r="E189" s="423"/>
      <c r="F189" s="423"/>
      <c r="I189" s="524"/>
    </row>
    <row r="190" spans="1:9" ht="12" customHeight="1">
      <c r="A190" s="516"/>
      <c r="B190" s="516"/>
      <c r="C190" s="516"/>
      <c r="I190" s="524"/>
    </row>
    <row r="191" spans="1:9">
      <c r="A191" s="1285" t="s">
        <v>1071</v>
      </c>
      <c r="B191" s="1285"/>
      <c r="C191" s="1285"/>
      <c r="D191" s="1285"/>
      <c r="E191" s="1285"/>
      <c r="F191" s="1285"/>
      <c r="G191" s="1285"/>
      <c r="H191" s="1060"/>
      <c r="I191" s="1256"/>
    </row>
    <row r="192" spans="1:9" ht="12" customHeight="1">
      <c r="A192" s="435"/>
      <c r="B192" s="435"/>
      <c r="E192" s="435"/>
      <c r="I192" s="524"/>
    </row>
    <row r="193" spans="1:9" ht="13.7" customHeight="1">
      <c r="A193" s="435"/>
      <c r="B193" s="435"/>
      <c r="D193" s="1307" t="s">
        <v>1930</v>
      </c>
      <c r="E193" s="1307"/>
      <c r="F193" s="1307"/>
      <c r="I193" s="524"/>
    </row>
    <row r="194" spans="1:9">
      <c r="A194" s="435"/>
      <c r="B194" s="435"/>
      <c r="D194" s="1307"/>
      <c r="E194" s="1307"/>
      <c r="F194" s="1307"/>
      <c r="I194" s="524"/>
    </row>
    <row r="195" spans="1:9">
      <c r="A195" s="435"/>
      <c r="B195" s="435"/>
      <c r="D195" s="1294" t="s">
        <v>1299</v>
      </c>
      <c r="E195" s="1294"/>
      <c r="F195" s="1294"/>
      <c r="I195" s="524"/>
    </row>
    <row r="196" spans="1:9">
      <c r="A196" s="435"/>
      <c r="B196" s="435"/>
      <c r="D196" s="423"/>
      <c r="E196" s="423"/>
      <c r="F196" s="423"/>
      <c r="I196" s="524"/>
    </row>
    <row r="197" spans="1:9">
      <c r="A197" s="435"/>
      <c r="B197" s="519" t="s">
        <v>2626</v>
      </c>
      <c r="D197" s="1284" t="s">
        <v>1931</v>
      </c>
      <c r="E197" s="1284"/>
      <c r="F197" s="1284"/>
      <c r="I197" s="524" t="s">
        <v>2130</v>
      </c>
    </row>
    <row r="198" spans="1:9">
      <c r="A198" s="435"/>
      <c r="B198" s="435"/>
      <c r="D198" s="1288" t="s">
        <v>2191</v>
      </c>
      <c r="E198" s="1288"/>
      <c r="F198" s="1288"/>
      <c r="I198" s="524"/>
    </row>
    <row r="199" spans="1:9">
      <c r="A199" s="435"/>
      <c r="B199" s="435"/>
      <c r="D199" s="96" t="s">
        <v>1932</v>
      </c>
      <c r="E199" s="1336" t="s">
        <v>2214</v>
      </c>
      <c r="F199" s="1336"/>
      <c r="I199" s="524"/>
    </row>
    <row r="200" spans="1:9">
      <c r="A200" s="435"/>
      <c r="B200" s="435"/>
      <c r="D200" s="3"/>
      <c r="E200" s="3"/>
      <c r="F200" s="3"/>
      <c r="I200" s="524"/>
    </row>
    <row r="201" spans="1:9">
      <c r="A201" s="435"/>
      <c r="B201" s="519" t="s">
        <v>2627</v>
      </c>
      <c r="D201" s="1288" t="s">
        <v>1933</v>
      </c>
      <c r="E201" s="1288"/>
      <c r="F201" s="1288"/>
      <c r="I201" s="524" t="s">
        <v>2131</v>
      </c>
    </row>
    <row r="202" spans="1:9">
      <c r="A202" s="435"/>
      <c r="B202" s="435"/>
      <c r="D202" s="1284" t="s">
        <v>2191</v>
      </c>
      <c r="E202" s="1284"/>
      <c r="F202" s="1284"/>
      <c r="I202" s="524"/>
    </row>
    <row r="203" spans="1:9">
      <c r="A203" s="435"/>
      <c r="B203" s="435"/>
      <c r="D203" s="57" t="s">
        <v>1934</v>
      </c>
      <c r="E203" s="1336" t="s">
        <v>2215</v>
      </c>
      <c r="F203" s="1336"/>
      <c r="I203" s="524"/>
    </row>
    <row r="204" spans="1:9">
      <c r="A204" s="435"/>
      <c r="B204" s="435"/>
      <c r="D204" s="3"/>
      <c r="E204" s="3"/>
      <c r="F204" s="3"/>
      <c r="I204" s="524"/>
    </row>
    <row r="205" spans="1:9">
      <c r="A205" s="435"/>
      <c r="B205" s="519" t="s">
        <v>2627</v>
      </c>
      <c r="D205" s="1288" t="s">
        <v>1935</v>
      </c>
      <c r="E205" s="1288"/>
      <c r="F205" s="1288"/>
      <c r="I205" s="524" t="s">
        <v>2132</v>
      </c>
    </row>
    <row r="206" spans="1:9">
      <c r="A206" s="435"/>
      <c r="B206" s="435"/>
      <c r="D206" s="1284" t="s">
        <v>2191</v>
      </c>
      <c r="E206" s="1284"/>
      <c r="F206" s="1284"/>
      <c r="I206" s="524"/>
    </row>
    <row r="207" spans="1:9">
      <c r="A207" s="435"/>
      <c r="B207" s="435"/>
      <c r="D207" s="57" t="s">
        <v>1932</v>
      </c>
      <c r="E207" s="1336" t="s">
        <v>2216</v>
      </c>
      <c r="F207" s="1336"/>
      <c r="I207" s="524"/>
    </row>
    <row r="208" spans="1:9">
      <c r="A208" s="435"/>
      <c r="B208" s="435"/>
      <c r="D208" s="423"/>
      <c r="E208" s="423"/>
      <c r="F208" s="423"/>
      <c r="I208" s="524"/>
    </row>
    <row r="209" spans="1:9" ht="14.25" customHeight="1">
      <c r="A209" s="518"/>
      <c r="B209" s="519" t="s">
        <v>2627</v>
      </c>
      <c r="D209" s="417" t="s">
        <v>2184</v>
      </c>
      <c r="E209" s="416"/>
      <c r="F209" s="416"/>
      <c r="I209" s="524" t="s">
        <v>2133</v>
      </c>
    </row>
    <row r="210" spans="1:9" ht="14.25">
      <c r="A210" s="518"/>
      <c r="B210" s="518"/>
      <c r="D210" s="1284" t="s">
        <v>2191</v>
      </c>
      <c r="E210" s="1284"/>
      <c r="F210" s="1284"/>
      <c r="I210" s="524"/>
    </row>
    <row r="211" spans="1:9">
      <c r="D211" s="416"/>
      <c r="E211" s="1336" t="s">
        <v>2217</v>
      </c>
      <c r="F211" s="1336"/>
      <c r="I211" s="524"/>
    </row>
    <row r="212" spans="1:9">
      <c r="D212" s="481"/>
      <c r="I212" s="524"/>
    </row>
    <row r="213" spans="1:9">
      <c r="B213" s="519" t="s">
        <v>2627</v>
      </c>
      <c r="D213" s="1288" t="s">
        <v>1936</v>
      </c>
      <c r="E213" s="1288"/>
      <c r="F213" s="1288"/>
      <c r="I213" s="524" t="s">
        <v>2134</v>
      </c>
    </row>
    <row r="214" spans="1:9">
      <c r="D214" s="1284" t="s">
        <v>2191</v>
      </c>
      <c r="E214" s="1284"/>
      <c r="F214" s="1284"/>
      <c r="I214" s="524"/>
    </row>
    <row r="215" spans="1:9">
      <c r="D215" s="57" t="s">
        <v>1932</v>
      </c>
      <c r="E215" s="1336" t="s">
        <v>2218</v>
      </c>
      <c r="F215" s="1336"/>
      <c r="I215" s="524"/>
    </row>
    <row r="216" spans="1:9">
      <c r="D216" s="485"/>
      <c r="E216" s="485"/>
      <c r="F216" s="485"/>
      <c r="I216" s="524"/>
    </row>
    <row r="217" spans="1:9" ht="14.25">
      <c r="A217" s="518"/>
      <c r="B217" s="519" t="s">
        <v>2627</v>
      </c>
      <c r="D217" s="1279" t="s">
        <v>1320</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1072</v>
      </c>
      <c r="B222" s="1285"/>
      <c r="C222" s="1285"/>
      <c r="D222" s="1285"/>
      <c r="E222" s="1285"/>
      <c r="F222" s="1285"/>
      <c r="G222" s="1285"/>
      <c r="H222" s="1060"/>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1201</v>
      </c>
      <c r="E225" s="1308"/>
      <c r="F225" s="1308"/>
      <c r="I225" s="524"/>
    </row>
    <row r="226" spans="1:9" ht="12" customHeight="1">
      <c r="A226" s="524"/>
      <c r="B226" s="524"/>
      <c r="C226" s="524"/>
      <c r="I226" s="524"/>
    </row>
    <row r="227" spans="1:9" ht="13.7" customHeight="1">
      <c r="A227" s="524"/>
      <c r="C227" s="524"/>
      <c r="D227" s="1277" t="s">
        <v>554</v>
      </c>
      <c r="E227" s="1277"/>
      <c r="F227" s="1277"/>
      <c r="I227" s="524" t="s">
        <v>2082</v>
      </c>
    </row>
    <row r="228" spans="1:9" ht="14.25">
      <c r="A228" s="518"/>
      <c r="B228" s="519" t="s">
        <v>2626</v>
      </c>
      <c r="D228" s="1279" t="s">
        <v>1937</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2626</v>
      </c>
      <c r="D233" s="1279" t="s">
        <v>1938</v>
      </c>
      <c r="E233" s="1279"/>
      <c r="F233" s="1279"/>
      <c r="I233" s="524" t="s">
        <v>2083</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1197</v>
      </c>
      <c r="E239" s="1279"/>
      <c r="F239" s="1279"/>
      <c r="I239" s="524" t="s">
        <v>2082</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2626</v>
      </c>
      <c r="D245" s="1279" t="s">
        <v>2356</v>
      </c>
      <c r="E245" s="1279"/>
      <c r="F245" s="1279"/>
      <c r="I245" s="524" t="s">
        <v>2121</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68" t="s">
        <v>2185</v>
      </c>
      <c r="I248" s="524"/>
    </row>
    <row r="249" spans="1:9" ht="14.25">
      <c r="A249" s="518"/>
      <c r="B249" s="518"/>
      <c r="D249" s="480"/>
      <c r="E249" s="480"/>
      <c r="F249" s="480"/>
      <c r="I249" s="524"/>
    </row>
    <row r="250" spans="1:9" ht="14.45" customHeight="1">
      <c r="A250" s="518"/>
      <c r="B250" s="519" t="s">
        <v>2627</v>
      </c>
      <c r="D250" s="1279" t="s">
        <v>2357</v>
      </c>
      <c r="E250" s="1279"/>
      <c r="F250" s="1279"/>
      <c r="I250" s="524" t="s">
        <v>2139</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2626</v>
      </c>
      <c r="D256" s="423" t="s">
        <v>2358</v>
      </c>
      <c r="E256" s="479"/>
      <c r="F256" s="479"/>
      <c r="I256" s="524" t="s">
        <v>2120</v>
      </c>
    </row>
    <row r="257" spans="1:9" ht="14.25">
      <c r="A257" s="518"/>
      <c r="B257" s="518"/>
      <c r="E257" s="1068" t="s">
        <v>2186</v>
      </c>
      <c r="I257" s="524"/>
    </row>
    <row r="258" spans="1:9">
      <c r="D258" s="480"/>
      <c r="E258" s="480"/>
      <c r="F258" s="480"/>
      <c r="I258" s="524"/>
    </row>
    <row r="259" spans="1:9" ht="14.25">
      <c r="A259" s="518"/>
      <c r="B259" s="519" t="s">
        <v>2626</v>
      </c>
      <c r="D259" s="1279" t="s">
        <v>1199</v>
      </c>
      <c r="E259" s="1279"/>
      <c r="F259" s="1279"/>
      <c r="I259" s="524"/>
    </row>
    <row r="260" spans="1:9" ht="14.25">
      <c r="A260" s="518"/>
      <c r="B260" s="518"/>
      <c r="D260" s="1279"/>
      <c r="E260" s="1279"/>
      <c r="F260" s="1279"/>
      <c r="I260" s="524"/>
    </row>
    <row r="261" spans="1:9">
      <c r="D261" s="525"/>
      <c r="I261" s="524"/>
    </row>
    <row r="262" spans="1:9">
      <c r="A262" s="1285" t="s">
        <v>1073</v>
      </c>
      <c r="B262" s="1285"/>
      <c r="C262" s="1285"/>
      <c r="D262" s="1285"/>
      <c r="E262" s="1285"/>
      <c r="F262" s="1285"/>
      <c r="G262" s="1285"/>
      <c r="H262" s="1060"/>
      <c r="I262" s="1256"/>
    </row>
    <row r="263" spans="1:9">
      <c r="D263" s="525"/>
      <c r="I263" s="524"/>
    </row>
    <row r="264" spans="1:9">
      <c r="C264" s="520"/>
      <c r="D264" s="1277" t="s">
        <v>1202</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2122</v>
      </c>
    </row>
    <row r="267" spans="1:9" ht="14.45" customHeight="1">
      <c r="A267" s="518"/>
      <c r="B267" s="519" t="s">
        <v>2627</v>
      </c>
      <c r="D267" s="1279" t="s">
        <v>1300</v>
      </c>
      <c r="E267" s="1279"/>
      <c r="F267" s="1279"/>
      <c r="I267" s="524"/>
    </row>
    <row r="268" spans="1:9">
      <c r="D268" s="1279"/>
      <c r="E268" s="1279"/>
      <c r="F268" s="1279"/>
      <c r="I268" s="524"/>
    </row>
    <row r="269" spans="1:9">
      <c r="E269" s="1068" t="s">
        <v>2187</v>
      </c>
      <c r="I269" s="524"/>
    </row>
    <row r="270" spans="1:9">
      <c r="D270" s="480"/>
      <c r="E270" s="480"/>
      <c r="F270" s="480"/>
      <c r="I270" s="524"/>
    </row>
    <row r="271" spans="1:9" ht="14.45" customHeight="1">
      <c r="A271" s="518"/>
      <c r="B271" s="519" t="s">
        <v>2627</v>
      </c>
      <c r="D271" s="1279" t="s">
        <v>2359</v>
      </c>
      <c r="E271" s="1279"/>
      <c r="F271" s="1279"/>
      <c r="I271" s="524" t="s">
        <v>2140</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2627</v>
      </c>
      <c r="D278" s="1279" t="s">
        <v>1205</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1074</v>
      </c>
      <c r="B282" s="1285"/>
      <c r="C282" s="1285"/>
      <c r="D282" s="1285"/>
      <c r="E282" s="1285"/>
      <c r="F282" s="1285"/>
      <c r="G282" s="1285"/>
      <c r="H282" s="1060"/>
      <c r="I282" s="1256"/>
    </row>
    <row r="283" spans="1:9">
      <c r="D283" s="526"/>
      <c r="E283" s="480"/>
      <c r="F283" s="480"/>
      <c r="I283" s="524"/>
    </row>
    <row r="284" spans="1:9">
      <c r="C284" s="516"/>
      <c r="D284" s="1307" t="s">
        <v>1207</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1208</v>
      </c>
      <c r="E288" s="1332"/>
      <c r="F288" s="1332"/>
      <c r="I288" s="524"/>
    </row>
    <row r="289" spans="1:9">
      <c r="E289" s="480"/>
      <c r="F289" s="480"/>
      <c r="I289" s="524"/>
    </row>
    <row r="290" spans="1:9" ht="14.25">
      <c r="A290" s="518"/>
      <c r="B290" s="519" t="s">
        <v>2627</v>
      </c>
      <c r="D290" s="1279" t="s">
        <v>1209</v>
      </c>
      <c r="E290" s="1279"/>
      <c r="F290" s="1279"/>
      <c r="I290" s="524" t="s">
        <v>2084</v>
      </c>
    </row>
    <row r="291" spans="1:9" ht="14.25">
      <c r="A291" s="518"/>
      <c r="B291" s="518"/>
      <c r="D291" s="1279"/>
      <c r="E291" s="1279"/>
      <c r="F291" s="1279"/>
      <c r="I291" s="524"/>
    </row>
    <row r="292" spans="1:9">
      <c r="D292" s="480"/>
      <c r="E292" s="480"/>
      <c r="F292" s="480"/>
      <c r="I292" s="524"/>
    </row>
    <row r="293" spans="1:9" ht="14.25">
      <c r="A293" s="518"/>
      <c r="B293" s="519" t="s">
        <v>2627</v>
      </c>
      <c r="D293" s="1279" t="s">
        <v>1210</v>
      </c>
      <c r="E293" s="1279"/>
      <c r="F293" s="1279"/>
      <c r="I293" s="524" t="s">
        <v>2084</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2627</v>
      </c>
      <c r="D297" s="1279" t="s">
        <v>1211</v>
      </c>
      <c r="E297" s="1279"/>
      <c r="F297" s="1279"/>
      <c r="I297" s="524" t="s">
        <v>2084</v>
      </c>
    </row>
    <row r="298" spans="1:9" ht="14.25">
      <c r="A298" s="518"/>
      <c r="B298" s="518"/>
      <c r="D298" s="1279"/>
      <c r="E298" s="1279"/>
      <c r="F298" s="1279"/>
      <c r="I298" s="524"/>
    </row>
    <row r="299" spans="1:9">
      <c r="A299" s="524"/>
      <c r="B299" s="524"/>
      <c r="E299" s="480"/>
      <c r="F299" s="480"/>
      <c r="I299" s="524"/>
    </row>
    <row r="300" spans="1:9">
      <c r="A300" s="1285" t="s">
        <v>1075</v>
      </c>
      <c r="B300" s="1285"/>
      <c r="C300" s="1285"/>
      <c r="D300" s="1285"/>
      <c r="E300" s="1285"/>
      <c r="F300" s="1285"/>
      <c r="G300" s="1285"/>
      <c r="H300" s="1060"/>
      <c r="I300" s="1256"/>
    </row>
    <row r="301" spans="1:9">
      <c r="A301" s="524"/>
      <c r="B301" s="524"/>
      <c r="D301" s="480"/>
      <c r="E301" s="480"/>
      <c r="F301" s="480"/>
      <c r="I301" s="524"/>
    </row>
    <row r="302" spans="1:9">
      <c r="C302" s="524"/>
      <c r="D302" s="1277" t="s">
        <v>690</v>
      </c>
      <c r="E302" s="1277"/>
      <c r="F302" s="1277"/>
      <c r="I302" s="524"/>
    </row>
    <row r="303" spans="1:9">
      <c r="C303" s="524"/>
      <c r="D303" s="1308" t="s">
        <v>1212</v>
      </c>
      <c r="E303" s="1308"/>
      <c r="F303" s="1308"/>
      <c r="I303" s="524"/>
    </row>
    <row r="304" spans="1:9">
      <c r="C304" s="524"/>
      <c r="D304" s="527"/>
      <c r="I304" s="524"/>
    </row>
    <row r="305" spans="1:9">
      <c r="B305" s="519" t="s">
        <v>2627</v>
      </c>
      <c r="D305" s="1308" t="s">
        <v>1213</v>
      </c>
      <c r="E305" s="1308"/>
      <c r="F305" s="1308"/>
      <c r="I305" s="524" t="s">
        <v>2085</v>
      </c>
    </row>
    <row r="306" spans="1:9" ht="14.25">
      <c r="A306" s="518"/>
      <c r="B306" s="518"/>
      <c r="D306" s="528"/>
      <c r="E306" s="529"/>
      <c r="F306" s="529"/>
      <c r="I306" s="524"/>
    </row>
    <row r="307" spans="1:9" ht="13.7" customHeight="1">
      <c r="B307" s="519" t="s">
        <v>2627</v>
      </c>
      <c r="D307" s="1329" t="s">
        <v>1323</v>
      </c>
      <c r="E307" s="1329"/>
      <c r="F307" s="1329"/>
      <c r="I307" s="524" t="s">
        <v>2085</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2627</v>
      </c>
      <c r="D313" s="1329" t="s">
        <v>1215</v>
      </c>
      <c r="E313" s="1329"/>
      <c r="F313" s="1329"/>
      <c r="I313" s="524" t="s">
        <v>2085</v>
      </c>
    </row>
    <row r="314" spans="1:9">
      <c r="D314" s="1329"/>
      <c r="E314" s="1329"/>
      <c r="F314" s="1329"/>
      <c r="I314" s="524"/>
    </row>
    <row r="315" spans="1:9" ht="14.25">
      <c r="A315" s="518"/>
      <c r="B315" s="518"/>
      <c r="D315" s="528"/>
      <c r="E315" s="529"/>
      <c r="F315" s="529"/>
      <c r="I315" s="524"/>
    </row>
    <row r="316" spans="1:9">
      <c r="B316" s="519" t="s">
        <v>2627</v>
      </c>
      <c r="D316" s="1308" t="s">
        <v>1216</v>
      </c>
      <c r="E316" s="1308"/>
      <c r="F316" s="1308"/>
      <c r="I316" s="524" t="s">
        <v>2071</v>
      </c>
    </row>
    <row r="317" spans="1:9">
      <c r="E317" s="480"/>
      <c r="F317" s="480"/>
      <c r="I317" s="524"/>
    </row>
    <row r="318" spans="1:9" ht="14.25">
      <c r="A318" s="518"/>
      <c r="B318" s="519" t="s">
        <v>2627</v>
      </c>
      <c r="D318" s="1279" t="s">
        <v>2378</v>
      </c>
      <c r="E318" s="1279"/>
      <c r="F318" s="1279"/>
      <c r="I318" s="524" t="s">
        <v>2086</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2627</v>
      </c>
      <c r="D334" s="1279" t="s">
        <v>1218</v>
      </c>
      <c r="E334" s="1279"/>
      <c r="F334" s="1279"/>
      <c r="I334" s="524" t="s">
        <v>2086</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2627</v>
      </c>
      <c r="D344" s="1279" t="s">
        <v>2192</v>
      </c>
      <c r="E344" s="1279"/>
      <c r="F344" s="1279"/>
      <c r="I344" s="524" t="s">
        <v>2123</v>
      </c>
    </row>
    <row r="345" spans="1:9">
      <c r="D345" s="1279"/>
      <c r="E345" s="1279"/>
      <c r="F345" s="1279"/>
      <c r="I345" s="524"/>
    </row>
    <row r="346" spans="1:9">
      <c r="D346" s="1279"/>
      <c r="E346" s="1279"/>
      <c r="F346" s="1279"/>
      <c r="I346" s="524"/>
    </row>
    <row r="347" spans="1:9">
      <c r="D347" s="1279"/>
      <c r="E347" s="1279"/>
      <c r="F347" s="1279"/>
      <c r="I347" s="524"/>
    </row>
    <row r="348" spans="1:9">
      <c r="D348" s="417" t="s">
        <v>2191</v>
      </c>
      <c r="E348" s="416"/>
      <c r="F348" s="416"/>
      <c r="I348" s="524"/>
    </row>
    <row r="349" spans="1:9">
      <c r="D349" s="416"/>
      <c r="E349" s="96" t="s">
        <v>2188</v>
      </c>
      <c r="G349" s="96"/>
      <c r="I349" s="524"/>
    </row>
    <row r="350" spans="1:9">
      <c r="D350" s="479"/>
      <c r="E350" s="479"/>
      <c r="F350" s="479"/>
      <c r="I350" s="524"/>
    </row>
    <row r="351" spans="1:9" ht="13.5" thickBot="1">
      <c r="A351" s="1054"/>
      <c r="B351" s="1054"/>
      <c r="C351" s="1054"/>
      <c r="D351" s="1334" t="s">
        <v>996</v>
      </c>
      <c r="E351" s="1334"/>
      <c r="F351" s="1334"/>
      <c r="G351" s="1059"/>
      <c r="H351" s="1059"/>
      <c r="I351" s="1259"/>
    </row>
    <row r="352" spans="1:9" ht="13.5" thickTop="1">
      <c r="D352" s="1330" t="s">
        <v>1220</v>
      </c>
      <c r="E352" s="1330"/>
      <c r="F352" s="1330"/>
      <c r="I352" s="524"/>
    </row>
    <row r="353" spans="1:9">
      <c r="D353" s="480"/>
      <c r="E353" s="480"/>
      <c r="F353" s="480"/>
      <c r="I353" s="524"/>
    </row>
    <row r="354" spans="1:9">
      <c r="A354" s="510"/>
      <c r="B354" s="510"/>
      <c r="C354" s="510"/>
      <c r="D354" s="481"/>
      <c r="E354" s="481"/>
      <c r="F354" s="480"/>
      <c r="I354" s="524" t="s">
        <v>2087</v>
      </c>
    </row>
    <row r="355" spans="1:9" ht="14.25">
      <c r="A355" s="518"/>
      <c r="B355" s="519" t="s">
        <v>2627</v>
      </c>
      <c r="C355" s="521"/>
      <c r="D355" s="1308" t="s">
        <v>2190</v>
      </c>
      <c r="E355" s="1308"/>
      <c r="F355" s="1308"/>
      <c r="I355" s="1326" t="s">
        <v>2137</v>
      </c>
    </row>
    <row r="356" spans="1:9" ht="12.75" customHeight="1">
      <c r="D356" s="1069"/>
      <c r="E356" s="96" t="s">
        <v>2189</v>
      </c>
      <c r="F356" s="1069"/>
      <c r="I356" s="1327"/>
    </row>
    <row r="357" spans="1:9">
      <c r="D357" s="1279" t="s">
        <v>1344</v>
      </c>
      <c r="E357" s="1279"/>
      <c r="F357" s="1279"/>
      <c r="I357" s="1327"/>
    </row>
    <row r="358" spans="1:9">
      <c r="D358" s="1279"/>
      <c r="E358" s="1279"/>
      <c r="F358" s="1279"/>
      <c r="I358" s="1327"/>
    </row>
    <row r="359" spans="1:9">
      <c r="D359" s="1279"/>
      <c r="E359" s="1279"/>
      <c r="F359" s="1279"/>
      <c r="I359" s="1328"/>
    </row>
    <row r="360" spans="1:9" ht="14.25">
      <c r="A360" s="518"/>
      <c r="B360" s="519" t="s">
        <v>2627</v>
      </c>
      <c r="C360" s="510"/>
      <c r="D360" s="1312" t="s">
        <v>2360</v>
      </c>
      <c r="E360" s="1312"/>
      <c r="F360" s="1312"/>
      <c r="I360" s="514"/>
    </row>
    <row r="361" spans="1:9">
      <c r="A361" s="510"/>
      <c r="B361" s="510"/>
      <c r="C361" s="510"/>
      <c r="D361" s="481"/>
      <c r="E361" s="481"/>
      <c r="F361" s="480"/>
      <c r="I361" s="524"/>
    </row>
    <row r="362" spans="1:9">
      <c r="A362" s="510"/>
      <c r="B362" s="519" t="s">
        <v>2627</v>
      </c>
      <c r="C362" s="510"/>
      <c r="D362" s="1267" t="s">
        <v>2361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2627</v>
      </c>
      <c r="C375" s="510"/>
      <c r="D375" s="1323" t="s">
        <v>1325</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2627</v>
      </c>
      <c r="C380" s="510"/>
      <c r="D380" s="433" t="s">
        <v>2019</v>
      </c>
      <c r="E380" s="558"/>
      <c r="F380" s="558"/>
      <c r="I380" s="524"/>
    </row>
    <row r="381" spans="1:9">
      <c r="A381" s="510"/>
      <c r="B381" s="510"/>
      <c r="C381" s="510"/>
      <c r="D381" s="433" t="s">
        <v>2020</v>
      </c>
      <c r="E381" s="558"/>
      <c r="F381" s="558"/>
      <c r="I381" s="524"/>
    </row>
    <row r="382" spans="1:9">
      <c r="A382" s="510"/>
      <c r="B382" s="510"/>
      <c r="C382" s="510"/>
      <c r="D382" s="433" t="s">
        <v>2021</v>
      </c>
      <c r="E382" s="558"/>
      <c r="F382" s="558"/>
      <c r="I382" s="524"/>
    </row>
    <row r="383" spans="1:9">
      <c r="A383" s="510"/>
      <c r="B383" s="510"/>
      <c r="C383" s="510"/>
      <c r="D383" s="433" t="s">
        <v>2022</v>
      </c>
      <c r="E383" s="558"/>
      <c r="F383" s="558"/>
      <c r="I383" s="524"/>
    </row>
    <row r="384" spans="1:9">
      <c r="A384" s="510"/>
      <c r="B384" s="510"/>
      <c r="C384" s="510"/>
      <c r="D384" s="433" t="s">
        <v>2023</v>
      </c>
      <c r="E384" s="558"/>
      <c r="F384" s="558"/>
      <c r="I384" s="524"/>
    </row>
    <row r="385" spans="1:9">
      <c r="A385" s="510"/>
      <c r="B385" s="510"/>
      <c r="C385" s="510"/>
      <c r="D385" s="433" t="s">
        <v>2024</v>
      </c>
      <c r="E385" s="558"/>
      <c r="F385" s="558"/>
      <c r="I385" s="524"/>
    </row>
    <row r="386" spans="1:9">
      <c r="A386" s="510"/>
      <c r="B386" s="510"/>
      <c r="C386" s="510"/>
      <c r="E386" s="481"/>
      <c r="F386" s="480"/>
      <c r="I386" s="524"/>
    </row>
    <row r="387" spans="1:9" ht="14.25">
      <c r="A387" s="518"/>
      <c r="B387" s="519" t="s">
        <v>2627</v>
      </c>
      <c r="C387" s="510"/>
      <c r="D387" s="1267" t="s">
        <v>1223</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1224</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1225</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2627</v>
      </c>
      <c r="C420" s="510"/>
      <c r="D420" s="1267" t="s">
        <v>1226</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2627</v>
      </c>
      <c r="D423" s="1267" t="s">
        <v>2124</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2627</v>
      </c>
      <c r="C429" s="510"/>
      <c r="D429" s="1267" t="s">
        <v>1345</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2379</v>
      </c>
      <c r="E433" s="1267"/>
      <c r="F433" s="1267"/>
      <c r="I433" s="524"/>
    </row>
    <row r="434" spans="1:9">
      <c r="D434" s="480"/>
      <c r="E434" s="480"/>
      <c r="F434" s="480"/>
      <c r="I434" s="524"/>
    </row>
    <row r="435" spans="1:9" ht="14.25">
      <c r="A435" s="518"/>
      <c r="B435" s="519" t="s">
        <v>2627</v>
      </c>
      <c r="C435" s="521"/>
      <c r="D435" s="1279" t="s">
        <v>2362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2627</v>
      </c>
      <c r="C467" s="521"/>
      <c r="D467" s="1279" t="s">
        <v>1231</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2627</v>
      </c>
      <c r="C471" s="518"/>
      <c r="D471" s="1279" t="s">
        <v>1301</v>
      </c>
      <c r="E471" s="1279"/>
      <c r="F471" s="1279"/>
      <c r="I471" s="524"/>
    </row>
    <row r="472" spans="1:9">
      <c r="D472" s="1279"/>
      <c r="E472" s="1279"/>
      <c r="F472" s="1279"/>
      <c r="I472" s="524"/>
    </row>
    <row r="473" spans="1:9">
      <c r="D473" s="480"/>
      <c r="E473" s="480"/>
      <c r="F473" s="480"/>
      <c r="I473" s="524"/>
    </row>
    <row r="474" spans="1:9" ht="14.25">
      <c r="B474" s="519" t="s">
        <v>2627</v>
      </c>
      <c r="C474" s="518"/>
      <c r="D474" s="1279" t="s">
        <v>1233</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2627</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2627</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2627</v>
      </c>
      <c r="C486" s="433"/>
      <c r="D486" s="1279"/>
      <c r="E486" s="1279"/>
      <c r="F486" s="1279"/>
      <c r="I486" s="524"/>
    </row>
    <row r="487" spans="1:9">
      <c r="A487" s="433"/>
      <c r="C487" s="433"/>
      <c r="D487" s="1279"/>
      <c r="E487" s="1279"/>
      <c r="F487" s="1279"/>
      <c r="I487" s="524"/>
    </row>
    <row r="488" spans="1:9">
      <c r="A488" s="433"/>
      <c r="B488" s="519" t="s">
        <v>2627</v>
      </c>
      <c r="C488" s="433"/>
      <c r="D488" s="1279" t="s">
        <v>1234</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2627</v>
      </c>
      <c r="D494" s="1308" t="s">
        <v>1235</v>
      </c>
      <c r="E494" s="1308"/>
      <c r="F494" s="1308"/>
      <c r="I494" s="524"/>
    </row>
    <row r="495" spans="1:9">
      <c r="A495" s="480"/>
      <c r="B495" s="480"/>
      <c r="I495" s="524"/>
    </row>
    <row r="496" spans="1:9">
      <c r="A496" s="1285" t="s">
        <v>1076</v>
      </c>
      <c r="B496" s="1285"/>
      <c r="C496" s="1285"/>
      <c r="D496" s="1285"/>
      <c r="E496" s="1285"/>
      <c r="F496" s="1285"/>
      <c r="G496" s="1285"/>
      <c r="H496" s="1060"/>
      <c r="I496" s="1256"/>
    </row>
    <row r="497" spans="1:9">
      <c r="A497" s="480"/>
      <c r="B497" s="480"/>
      <c r="I497" s="524"/>
    </row>
    <row r="498" spans="1:9">
      <c r="D498" s="1315" t="s">
        <v>893</v>
      </c>
      <c r="E498" s="1315"/>
      <c r="F498" s="1315"/>
      <c r="I498" s="524"/>
    </row>
    <row r="499" spans="1:9" ht="14.25">
      <c r="A499" s="518"/>
      <c r="B499" s="518"/>
      <c r="D499" s="1312" t="s">
        <v>1236</v>
      </c>
      <c r="E499" s="1312"/>
      <c r="F499" s="1312"/>
      <c r="I499" s="524"/>
    </row>
    <row r="500" spans="1:9" ht="14.25">
      <c r="A500" s="518"/>
      <c r="B500" s="518"/>
      <c r="D500" s="481"/>
      <c r="I500" s="524"/>
    </row>
    <row r="501" spans="1:9" ht="14.25">
      <c r="A501" s="518"/>
      <c r="B501" s="519" t="s">
        <v>2627</v>
      </c>
      <c r="D501" s="1267" t="s">
        <v>1237</v>
      </c>
      <c r="E501" s="1267"/>
      <c r="F501" s="1267"/>
      <c r="I501" s="524" t="s">
        <v>2088</v>
      </c>
    </row>
    <row r="502" spans="1:9" ht="14.25">
      <c r="A502" s="518"/>
      <c r="B502" s="518"/>
      <c r="D502" s="1267"/>
      <c r="E502" s="1267"/>
      <c r="F502" s="1267"/>
      <c r="I502" s="524"/>
    </row>
    <row r="503" spans="1:9" ht="14.25">
      <c r="A503" s="518"/>
      <c r="B503" s="518"/>
      <c r="D503" s="480"/>
      <c r="I503" s="524"/>
    </row>
    <row r="504" spans="1:9" ht="12.75" customHeight="1">
      <c r="B504" s="519" t="s">
        <v>2627</v>
      </c>
      <c r="D504" s="1301" t="s">
        <v>1381</v>
      </c>
      <c r="E504" s="1301"/>
      <c r="F504" s="1301"/>
      <c r="I504" s="524" t="s">
        <v>2089</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2627</v>
      </c>
      <c r="D509" s="1308" t="s">
        <v>1240</v>
      </c>
      <c r="E509" s="1308"/>
      <c r="F509" s="1308"/>
      <c r="I509" s="524" t="s">
        <v>2090</v>
      </c>
    </row>
    <row r="510" spans="1:9" ht="14.25">
      <c r="A510" s="518"/>
      <c r="B510" s="518"/>
      <c r="D510" s="480"/>
      <c r="I510" s="524"/>
    </row>
    <row r="511" spans="1:9" ht="14.25">
      <c r="A511" s="518"/>
      <c r="B511" s="519" t="s">
        <v>2627</v>
      </c>
      <c r="D511" s="1279" t="s">
        <v>1241</v>
      </c>
      <c r="E511" s="1279"/>
      <c r="F511" s="1279"/>
      <c r="I511" s="524" t="s">
        <v>2090</v>
      </c>
    </row>
    <row r="512" spans="1:9" ht="14.25">
      <c r="A512" s="518"/>
      <c r="D512" s="1279"/>
      <c r="E512" s="1279"/>
      <c r="F512" s="1279"/>
      <c r="I512" s="524"/>
    </row>
    <row r="513" spans="1:9">
      <c r="A513" s="524"/>
      <c r="B513" s="524"/>
      <c r="D513" s="481"/>
      <c r="I513" s="524"/>
    </row>
    <row r="514" spans="1:9">
      <c r="A514" s="524"/>
      <c r="B514" s="519" t="s">
        <v>2627</v>
      </c>
      <c r="D514" s="1308" t="s">
        <v>1242</v>
      </c>
      <c r="E514" s="1308"/>
      <c r="F514" s="1308"/>
      <c r="I514" s="524" t="s">
        <v>2143</v>
      </c>
    </row>
    <row r="515" spans="1:9" ht="14.25">
      <c r="A515" s="518"/>
      <c r="B515" s="518"/>
      <c r="D515" s="480"/>
      <c r="I515" s="524"/>
    </row>
    <row r="516" spans="1:9">
      <c r="A516" s="1285" t="s">
        <v>1077</v>
      </c>
      <c r="B516" s="1285"/>
      <c r="C516" s="1285"/>
      <c r="D516" s="1285"/>
      <c r="E516" s="1285"/>
      <c r="F516" s="1285"/>
      <c r="G516" s="1285"/>
      <c r="H516" s="1060"/>
      <c r="I516" s="1256"/>
    </row>
    <row r="517" spans="1:9" ht="12" customHeight="1">
      <c r="A517" s="518"/>
      <c r="B517" s="518"/>
      <c r="D517" s="480"/>
      <c r="I517" s="524"/>
    </row>
    <row r="518" spans="1:9">
      <c r="C518" s="516"/>
      <c r="D518" s="1277" t="s">
        <v>802</v>
      </c>
      <c r="E518" s="1277"/>
      <c r="F518" s="1277"/>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2626</v>
      </c>
      <c r="C522" s="517"/>
      <c r="D522" s="1267" t="s">
        <v>2363</v>
      </c>
      <c r="E522" s="1267"/>
      <c r="F522" s="1267"/>
      <c r="I522" s="524" t="s">
        <v>2125</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2626</v>
      </c>
      <c r="D525" s="417" t="s">
        <v>2193</v>
      </c>
      <c r="E525" s="416"/>
      <c r="F525" s="416"/>
      <c r="I525" s="524" t="s">
        <v>2091</v>
      </c>
    </row>
    <row r="526" spans="1:9">
      <c r="A526" s="517"/>
      <c r="B526" s="517"/>
      <c r="C526" s="517"/>
      <c r="D526" s="416"/>
      <c r="E526" s="96" t="s">
        <v>2194</v>
      </c>
      <c r="I526" s="524"/>
    </row>
    <row r="527" spans="1:9">
      <c r="A527" s="517"/>
      <c r="B527" s="517"/>
      <c r="D527" s="1323" t="s">
        <v>2364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2627</v>
      </c>
      <c r="C531" s="517"/>
      <c r="D531" s="1279" t="s">
        <v>2365</v>
      </c>
      <c r="E531" s="1279"/>
      <c r="F531" s="1279"/>
      <c r="I531" s="524" t="s">
        <v>2091</v>
      </c>
    </row>
    <row r="532" spans="1:9">
      <c r="A532" s="517"/>
      <c r="B532" s="517"/>
      <c r="C532" s="517"/>
      <c r="D532" s="1279"/>
      <c r="E532" s="1279"/>
      <c r="F532" s="1279"/>
      <c r="I532" s="524"/>
    </row>
    <row r="533" spans="1:9" ht="12" customHeight="1">
      <c r="A533" s="480"/>
      <c r="B533" s="480"/>
      <c r="C533" s="521"/>
      <c r="D533" s="480"/>
      <c r="F533" s="482"/>
      <c r="I533" s="524"/>
    </row>
    <row r="534" spans="1:9">
      <c r="A534" s="1285" t="s">
        <v>1078</v>
      </c>
      <c r="B534" s="1285"/>
      <c r="C534" s="1285"/>
      <c r="D534" s="1285"/>
      <c r="E534" s="1285"/>
      <c r="F534" s="1285"/>
      <c r="G534" s="1285"/>
      <c r="H534" s="1060"/>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1079</v>
      </c>
      <c r="B538" s="1286"/>
      <c r="C538" s="1286"/>
      <c r="D538" s="1286"/>
      <c r="E538" s="1286"/>
      <c r="F538" s="1286"/>
      <c r="G538" s="1286"/>
      <c r="H538" s="1060"/>
      <c r="I538" s="1256"/>
    </row>
    <row r="539" spans="1:9">
      <c r="A539" s="480"/>
      <c r="B539" s="480"/>
      <c r="C539" s="521"/>
      <c r="D539" s="480"/>
      <c r="F539" s="480"/>
      <c r="I539" s="524"/>
    </row>
    <row r="540" spans="1:9">
      <c r="C540" s="521"/>
      <c r="D540" s="1277" t="s">
        <v>691</v>
      </c>
      <c r="E540" s="1277"/>
      <c r="F540" s="1277"/>
      <c r="I540" s="524"/>
    </row>
    <row r="541" spans="1:9">
      <c r="C541" s="521"/>
      <c r="D541" s="1308" t="s">
        <v>1136</v>
      </c>
      <c r="E541" s="1308"/>
      <c r="F541" s="1308"/>
      <c r="I541" s="524"/>
    </row>
    <row r="542" spans="1:9">
      <c r="C542" s="521"/>
      <c r="D542" s="480"/>
      <c r="E542" s="480"/>
      <c r="F542" s="480"/>
      <c r="I542" s="524"/>
    </row>
    <row r="543" spans="1:9" ht="13.7" customHeight="1">
      <c r="A543" s="518"/>
      <c r="B543" s="519" t="s">
        <v>2626</v>
      </c>
      <c r="C543" s="521"/>
      <c r="D543" s="1308" t="s">
        <v>894</v>
      </c>
      <c r="E543" s="1308"/>
      <c r="F543" s="1308"/>
      <c r="I543" s="524" t="s">
        <v>2141</v>
      </c>
    </row>
    <row r="544" spans="1:9" ht="13.7" customHeight="1">
      <c r="A544" s="521"/>
      <c r="B544" s="521"/>
      <c r="C544" s="521"/>
      <c r="D544" s="480"/>
      <c r="I544" s="524"/>
    </row>
    <row r="545" spans="1:9" ht="14.25">
      <c r="A545" s="518"/>
      <c r="B545" s="519" t="s">
        <v>2626</v>
      </c>
      <c r="C545" s="521"/>
      <c r="D545" s="1279" t="s">
        <v>1137</v>
      </c>
      <c r="E545" s="1279"/>
      <c r="F545" s="1279"/>
      <c r="I545" s="524" t="s">
        <v>2141</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2626</v>
      </c>
      <c r="C548" s="521"/>
      <c r="D548" s="1279" t="s">
        <v>1138</v>
      </c>
      <c r="E548" s="1279"/>
      <c r="F548" s="1279"/>
      <c r="I548" s="524" t="s">
        <v>2092</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2626</v>
      </c>
      <c r="C551" s="521"/>
      <c r="D551" s="1279" t="s">
        <v>1139</v>
      </c>
      <c r="E551" s="1279"/>
      <c r="F551" s="1279"/>
      <c r="I551" s="524" t="s">
        <v>2093</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2626</v>
      </c>
      <c r="C554" s="521"/>
      <c r="D554" s="1279" t="s">
        <v>1140</v>
      </c>
      <c r="E554" s="1279"/>
      <c r="F554" s="1279"/>
      <c r="I554" s="524" t="s">
        <v>2142</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2627</v>
      </c>
      <c r="C558" s="521"/>
      <c r="D558" s="1279" t="s">
        <v>1258</v>
      </c>
      <c r="E558" s="1279"/>
      <c r="F558" s="1279"/>
      <c r="I558" s="524" t="s">
        <v>2141</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2627</v>
      </c>
      <c r="C561" s="521"/>
      <c r="D561" s="1279" t="s">
        <v>1142</v>
      </c>
      <c r="E561" s="1279"/>
      <c r="F561" s="1279"/>
      <c r="I561" s="524" t="s">
        <v>2141</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2626</v>
      </c>
      <c r="C564" s="521"/>
      <c r="D564" s="1308" t="s">
        <v>1143</v>
      </c>
      <c r="E564" s="1308"/>
      <c r="F564" s="1308"/>
      <c r="I564" s="524" t="s">
        <v>2144</v>
      </c>
    </row>
    <row r="565" spans="1:9">
      <c r="A565" s="524"/>
      <c r="B565" s="524"/>
      <c r="C565" s="521"/>
      <c r="D565" s="1308" t="s">
        <v>2196</v>
      </c>
      <c r="E565" s="1308"/>
      <c r="F565" s="1308"/>
      <c r="I565" s="524"/>
    </row>
    <row r="566" spans="1:9">
      <c r="A566" s="524"/>
      <c r="B566" s="524"/>
      <c r="C566" s="521"/>
      <c r="E566" s="96" t="s">
        <v>2195</v>
      </c>
      <c r="F566" s="435"/>
      <c r="I566" s="524"/>
    </row>
    <row r="567" spans="1:9" ht="14.25">
      <c r="A567" s="518"/>
      <c r="B567" s="518"/>
      <c r="C567" s="521"/>
      <c r="E567" s="480"/>
      <c r="F567" s="480"/>
      <c r="I567" s="524"/>
    </row>
    <row r="568" spans="1:9" ht="14.25">
      <c r="A568" s="518"/>
      <c r="B568" s="519" t="s">
        <v>2626</v>
      </c>
      <c r="C568" s="521"/>
      <c r="D568" s="1308" t="s">
        <v>1145</v>
      </c>
      <c r="E568" s="1308"/>
      <c r="F568" s="1308"/>
      <c r="I568" s="524" t="s">
        <v>2094</v>
      </c>
    </row>
    <row r="569" spans="1:9">
      <c r="C569" s="521"/>
      <c r="D569" s="1279" t="s">
        <v>1146</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2626</v>
      </c>
      <c r="C573" s="521"/>
      <c r="D573" s="1279" t="s">
        <v>2366</v>
      </c>
      <c r="E573" s="1279"/>
      <c r="F573" s="1279"/>
      <c r="I573" s="524" t="s">
        <v>2095</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1080</v>
      </c>
      <c r="B578" s="1285"/>
      <c r="C578" s="1285"/>
      <c r="D578" s="1285"/>
      <c r="E578" s="1285"/>
      <c r="F578" s="1285"/>
      <c r="G578" s="1285"/>
      <c r="H578" s="1060"/>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1096</v>
      </c>
      <c r="E581" s="1301"/>
      <c r="F581" s="1301"/>
      <c r="I581" s="524"/>
    </row>
    <row r="582" spans="1:9">
      <c r="A582" s="433"/>
      <c r="B582" s="433"/>
      <c r="C582" s="517"/>
      <c r="D582" s="533"/>
      <c r="I582" s="524" t="s">
        <v>2096</v>
      </c>
    </row>
    <row r="583" spans="1:9">
      <c r="A583" s="517"/>
      <c r="B583" s="519" t="s">
        <v>2626</v>
      </c>
      <c r="D583" s="1301" t="s">
        <v>900</v>
      </c>
      <c r="E583" s="1301"/>
      <c r="F583" s="1301"/>
      <c r="I583" s="524"/>
    </row>
    <row r="584" spans="1:9">
      <c r="A584" s="524"/>
      <c r="B584" s="524"/>
      <c r="D584" s="510"/>
      <c r="I584" s="524"/>
    </row>
    <row r="585" spans="1:9">
      <c r="A585" s="524"/>
      <c r="B585" s="519" t="s">
        <v>2626</v>
      </c>
      <c r="D585" s="1301" t="s">
        <v>2367</v>
      </c>
      <c r="E585" s="1301"/>
      <c r="F585" s="1301"/>
      <c r="I585" s="524" t="s">
        <v>2098</v>
      </c>
    </row>
    <row r="586" spans="1:9">
      <c r="A586" s="524"/>
      <c r="B586" s="524"/>
      <c r="D586" s="1301"/>
      <c r="E586" s="1301"/>
      <c r="F586" s="1301"/>
      <c r="I586" s="524" t="s">
        <v>2097</v>
      </c>
    </row>
    <row r="587" spans="1:9">
      <c r="A587" s="524"/>
      <c r="B587" s="524"/>
      <c r="D587" s="1301"/>
      <c r="E587" s="1301"/>
      <c r="F587" s="1301"/>
      <c r="I587" s="524"/>
    </row>
    <row r="588" spans="1:9">
      <c r="A588" s="524"/>
      <c r="B588" s="524"/>
      <c r="D588" s="1301"/>
      <c r="E588" s="1301"/>
      <c r="F588" s="1301"/>
      <c r="I588" s="524"/>
    </row>
    <row r="589" spans="1:9">
      <c r="A589" s="524"/>
      <c r="B589" s="519" t="s">
        <v>2627</v>
      </c>
      <c r="D589" s="1301" t="s">
        <v>1098</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2626</v>
      </c>
      <c r="D594" s="1301" t="s">
        <v>2368</v>
      </c>
      <c r="E594" s="1301"/>
      <c r="F594" s="1301"/>
      <c r="I594" s="524"/>
    </row>
    <row r="595" spans="1:9">
      <c r="A595" s="524"/>
      <c r="B595" s="524"/>
      <c r="D595" s="1301"/>
      <c r="E595" s="1301"/>
      <c r="F595" s="1301"/>
      <c r="I595" s="524"/>
    </row>
    <row r="596" spans="1:9">
      <c r="A596" s="524"/>
      <c r="B596" s="524"/>
      <c r="D596" s="533"/>
      <c r="I596" s="524"/>
    </row>
    <row r="597" spans="1:9">
      <c r="A597" s="524"/>
      <c r="B597" s="519" t="s">
        <v>2627</v>
      </c>
      <c r="D597" s="1301" t="s">
        <v>1100</v>
      </c>
      <c r="E597" s="1301"/>
      <c r="F597" s="1301"/>
      <c r="I597" s="524" t="s">
        <v>2145</v>
      </c>
    </row>
    <row r="598" spans="1:9">
      <c r="A598" s="524"/>
      <c r="B598" s="524"/>
      <c r="D598" s="1301"/>
      <c r="E598" s="1301"/>
      <c r="F598" s="1301"/>
      <c r="I598" s="524"/>
    </row>
    <row r="599" spans="1:9" ht="14.25">
      <c r="A599" s="518"/>
      <c r="B599" s="518"/>
      <c r="D599" s="533"/>
      <c r="I599" s="524"/>
    </row>
    <row r="600" spans="1:9">
      <c r="A600" s="1285" t="s">
        <v>1081</v>
      </c>
      <c r="B600" s="1285"/>
      <c r="C600" s="1285"/>
      <c r="D600" s="1285"/>
      <c r="E600" s="1285"/>
      <c r="F600" s="1285"/>
      <c r="G600" s="1285"/>
      <c r="H600" s="1060"/>
      <c r="I600" s="1256"/>
    </row>
    <row r="601" spans="1:9">
      <c r="I601" s="524"/>
    </row>
    <row r="602" spans="1:9">
      <c r="D602" s="1277" t="s">
        <v>1181</v>
      </c>
      <c r="E602" s="1277"/>
      <c r="F602" s="1277"/>
      <c r="I602" s="524"/>
    </row>
    <row r="603" spans="1:9">
      <c r="D603" s="1278" t="s">
        <v>1182</v>
      </c>
      <c r="E603" s="1278"/>
      <c r="F603" s="1278"/>
      <c r="I603" s="524"/>
    </row>
    <row r="604" spans="1:9">
      <c r="D604" s="478"/>
      <c r="I604" s="524"/>
    </row>
    <row r="605" spans="1:9" ht="14.25" customHeight="1">
      <c r="A605" s="518"/>
      <c r="B605" s="519" t="s">
        <v>2626</v>
      </c>
      <c r="D605" s="1342" t="s">
        <v>2197</v>
      </c>
      <c r="E605" s="1342"/>
      <c r="F605" s="1342"/>
      <c r="I605" s="524" t="s">
        <v>2126</v>
      </c>
    </row>
    <row r="606" spans="1:9">
      <c r="D606" s="1342"/>
      <c r="E606" s="1342"/>
      <c r="F606" s="1342"/>
      <c r="I606" s="524"/>
    </row>
    <row r="607" spans="1:9">
      <c r="D607" s="416"/>
      <c r="E607" s="1068" t="s">
        <v>2198</v>
      </c>
      <c r="F607" s="416"/>
      <c r="I607" s="524"/>
    </row>
    <row r="608" spans="1:9">
      <c r="I608" s="524"/>
    </row>
    <row r="609" spans="1:9">
      <c r="A609" s="1285" t="s">
        <v>1082</v>
      </c>
      <c r="B609" s="1285"/>
      <c r="C609" s="1285"/>
      <c r="D609" s="1285"/>
      <c r="E609" s="1285"/>
      <c r="F609" s="1285"/>
      <c r="G609" s="1285"/>
      <c r="H609" s="1060"/>
      <c r="I609" s="1256"/>
    </row>
    <row r="610" spans="1:9">
      <c r="A610" s="480"/>
      <c r="B610" s="480"/>
      <c r="I610" s="524"/>
    </row>
    <row r="611" spans="1:9">
      <c r="A611" s="516"/>
      <c r="B611" s="516"/>
      <c r="C611" s="516"/>
      <c r="D611" s="1280" t="s">
        <v>1184</v>
      </c>
      <c r="E611" s="1280"/>
      <c r="F611" s="1280"/>
      <c r="I611" s="524"/>
    </row>
    <row r="612" spans="1:9">
      <c r="A612" s="516"/>
      <c r="B612" s="516"/>
      <c r="C612" s="516"/>
      <c r="D612" s="1280"/>
      <c r="E612" s="1280"/>
      <c r="F612" s="1280"/>
      <c r="I612" s="524"/>
    </row>
    <row r="613" spans="1:9">
      <c r="C613" s="517"/>
      <c r="D613" s="1278" t="s">
        <v>1185</v>
      </c>
      <c r="E613" s="1278"/>
      <c r="F613" s="1278"/>
      <c r="I613" s="524"/>
    </row>
    <row r="614" spans="1:9">
      <c r="C614" s="517"/>
      <c r="D614" s="478"/>
      <c r="E614" s="478"/>
      <c r="F614" s="478"/>
      <c r="I614" s="524"/>
    </row>
    <row r="615" spans="1:9" ht="12.75" customHeight="1">
      <c r="A615" s="524"/>
      <c r="B615" s="519" t="s">
        <v>2626</v>
      </c>
      <c r="D615" s="1281" t="s">
        <v>1186</v>
      </c>
      <c r="E615" s="1281"/>
      <c r="F615" s="1281"/>
      <c r="I615" s="524" t="s">
        <v>2146</v>
      </c>
    </row>
    <row r="616" spans="1:9">
      <c r="D616" s="1281"/>
      <c r="E616" s="1281"/>
      <c r="F616" s="1281"/>
      <c r="I616" s="524"/>
    </row>
    <row r="617" spans="1:9">
      <c r="I617" s="524"/>
    </row>
    <row r="618" spans="1:9">
      <c r="B618" s="519" t="s">
        <v>2626</v>
      </c>
      <c r="D618" s="1281" t="s">
        <v>1187</v>
      </c>
      <c r="E618" s="1281"/>
      <c r="F618" s="1281"/>
      <c r="I618" s="524" t="s">
        <v>2099</v>
      </c>
    </row>
    <row r="619" spans="1:9">
      <c r="C619" s="534"/>
      <c r="D619" s="1281"/>
      <c r="E619" s="1281"/>
      <c r="F619" s="1281"/>
      <c r="I619" s="524"/>
    </row>
    <row r="620" spans="1:9">
      <c r="C620" s="534"/>
      <c r="I620" s="524"/>
    </row>
    <row r="621" spans="1:9">
      <c r="B621" s="519" t="s">
        <v>2626</v>
      </c>
      <c r="C621" s="534"/>
      <c r="D621" s="1281" t="s">
        <v>1188</v>
      </c>
      <c r="E621" s="1281"/>
      <c r="F621" s="1281"/>
      <c r="I621" s="524" t="s">
        <v>2147</v>
      </c>
    </row>
    <row r="622" spans="1:9">
      <c r="C622" s="534"/>
      <c r="D622" s="1281"/>
      <c r="E622" s="1281"/>
      <c r="F622" s="1281"/>
      <c r="I622" s="534" t="s">
        <v>2148</v>
      </c>
    </row>
    <row r="623" spans="1:9">
      <c r="C623" s="534"/>
      <c r="I623" s="524"/>
    </row>
    <row r="624" spans="1:9">
      <c r="A624" s="1285" t="s">
        <v>1083</v>
      </c>
      <c r="B624" s="1285"/>
      <c r="C624" s="1285"/>
      <c r="D624" s="1285"/>
      <c r="E624" s="1285"/>
      <c r="F624" s="1285"/>
      <c r="G624" s="1285"/>
      <c r="H624" s="1060"/>
      <c r="I624" s="1256"/>
    </row>
    <row r="625" spans="1:9">
      <c r="A625" s="516"/>
      <c r="B625" s="516"/>
      <c r="C625" s="516"/>
      <c r="I625" s="524"/>
    </row>
    <row r="626" spans="1:9">
      <c r="C626" s="524"/>
      <c r="D626" s="1277" t="s">
        <v>1189</v>
      </c>
      <c r="E626" s="1277"/>
      <c r="F626" s="1277"/>
      <c r="I626" s="524"/>
    </row>
    <row r="627" spans="1:9">
      <c r="A627" s="524"/>
      <c r="B627" s="524"/>
      <c r="D627" s="435"/>
      <c r="I627" s="524"/>
    </row>
    <row r="628" spans="1:9" ht="14.25" customHeight="1">
      <c r="A628" s="518"/>
      <c r="B628" s="519" t="s">
        <v>2626</v>
      </c>
      <c r="D628" s="1342" t="s">
        <v>2369</v>
      </c>
      <c r="E628" s="1342"/>
      <c r="F628" s="1342"/>
      <c r="I628" s="524" t="s">
        <v>2127</v>
      </c>
    </row>
    <row r="629" spans="1:9">
      <c r="D629" s="1342"/>
      <c r="E629" s="1342"/>
      <c r="F629" s="1342"/>
      <c r="I629" s="524"/>
    </row>
    <row r="630" spans="1:9">
      <c r="D630" s="416"/>
      <c r="E630" s="1068" t="s">
        <v>2200</v>
      </c>
      <c r="F630" s="416"/>
      <c r="I630" s="524"/>
    </row>
    <row r="631" spans="1:9">
      <c r="D631" s="1279" t="s">
        <v>2199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2627</v>
      </c>
      <c r="D635" s="1279" t="s">
        <v>1191</v>
      </c>
      <c r="E635" s="1279"/>
      <c r="F635" s="1279"/>
      <c r="I635" s="524" t="s">
        <v>2149</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2627</v>
      </c>
      <c r="C638" s="521"/>
      <c r="D638" s="1279" t="s">
        <v>1330</v>
      </c>
      <c r="E638" s="1279"/>
      <c r="F638" s="1279"/>
      <c r="I638" s="524" t="s">
        <v>2100</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2627</v>
      </c>
      <c r="C641" s="521"/>
      <c r="D641" s="1308" t="s">
        <v>1193</v>
      </c>
      <c r="E641" s="1308"/>
      <c r="F641" s="1308"/>
      <c r="I641" s="524" t="s">
        <v>2100</v>
      </c>
    </row>
    <row r="642" spans="1:9">
      <c r="A642" s="521"/>
      <c r="B642" s="521"/>
      <c r="C642" s="521"/>
      <c r="D642" s="480"/>
      <c r="E642" s="480"/>
      <c r="F642" s="480"/>
      <c r="I642" s="524"/>
    </row>
    <row r="643" spans="1:9">
      <c r="A643" s="1285" t="s">
        <v>1084</v>
      </c>
      <c r="B643" s="1285"/>
      <c r="C643" s="1285"/>
      <c r="D643" s="1285"/>
      <c r="E643" s="1285"/>
      <c r="F643" s="1285"/>
      <c r="G643" s="1285"/>
      <c r="H643" s="1060"/>
      <c r="I643" s="1256"/>
    </row>
    <row r="644" spans="1:9">
      <c r="A644" s="480"/>
      <c r="B644" s="480"/>
      <c r="C644" s="521"/>
      <c r="D644" s="480"/>
      <c r="E644" s="480"/>
      <c r="F644" s="480"/>
      <c r="I644" s="524"/>
    </row>
    <row r="645" spans="1:9">
      <c r="C645" s="516"/>
      <c r="D645" s="1277" t="s">
        <v>1243</v>
      </c>
      <c r="E645" s="1277"/>
      <c r="F645" s="1277"/>
      <c r="I645" s="524"/>
    </row>
    <row r="646" spans="1:9">
      <c r="A646" s="517"/>
      <c r="B646" s="517"/>
      <c r="C646" s="517"/>
      <c r="D646" s="1308" t="s">
        <v>1244</v>
      </c>
      <c r="E646" s="1308"/>
      <c r="F646" s="1308"/>
      <c r="I646" s="524"/>
    </row>
    <row r="647" spans="1:9">
      <c r="A647" s="517"/>
      <c r="B647" s="517"/>
      <c r="C647" s="517"/>
      <c r="D647" s="480"/>
      <c r="E647" s="480"/>
      <c r="F647" s="480"/>
      <c r="I647" s="524"/>
    </row>
    <row r="648" spans="1:9" ht="12.75" customHeight="1">
      <c r="B648" s="519" t="s">
        <v>2627</v>
      </c>
      <c r="C648" s="521"/>
      <c r="D648" s="1279" t="s">
        <v>1389</v>
      </c>
      <c r="E648" s="1279"/>
      <c r="F648" s="1279"/>
      <c r="I648" s="524" t="s">
        <v>2152</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2627</v>
      </c>
      <c r="C653" s="521"/>
      <c r="D653" s="1279" t="s">
        <v>1391</v>
      </c>
      <c r="E653" s="1279"/>
      <c r="F653" s="1279"/>
      <c r="I653" s="524" t="s">
        <v>2152</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2627</v>
      </c>
      <c r="C659" s="521"/>
      <c r="D659" s="1279" t="s">
        <v>1390</v>
      </c>
      <c r="E659" s="1279"/>
      <c r="F659" s="1279"/>
      <c r="I659" s="524" t="s">
        <v>2152</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2627</v>
      </c>
      <c r="C664" s="521"/>
      <c r="D664" s="1279" t="s">
        <v>2370</v>
      </c>
      <c r="E664" s="1279"/>
      <c r="F664" s="1279"/>
      <c r="I664" s="524" t="s">
        <v>2152</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1085</v>
      </c>
      <c r="B674" s="1285"/>
      <c r="C674" s="1285"/>
      <c r="D674" s="1285"/>
      <c r="E674" s="1285"/>
      <c r="F674" s="1285"/>
      <c r="G674" s="1285"/>
      <c r="H674" s="1062"/>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1121</v>
      </c>
      <c r="E678" s="1308"/>
      <c r="F678" s="1308"/>
      <c r="H678" s="535"/>
      <c r="I678" s="517"/>
      <c r="J678" s="535"/>
      <c r="K678" s="535"/>
    </row>
    <row r="679" spans="1:11">
      <c r="A679" s="517"/>
      <c r="B679" s="517"/>
      <c r="C679" s="517"/>
      <c r="H679" s="535"/>
      <c r="I679" s="517"/>
      <c r="J679" s="535"/>
      <c r="K679" s="535"/>
    </row>
    <row r="680" spans="1:11" ht="14.25">
      <c r="A680" s="518"/>
      <c r="B680" s="519" t="s">
        <v>2627</v>
      </c>
      <c r="C680" s="517"/>
      <c r="D680" s="1308" t="s">
        <v>896</v>
      </c>
      <c r="E680" s="1308"/>
      <c r="F680" s="1308"/>
      <c r="H680" s="535"/>
      <c r="I680" s="517" t="s">
        <v>2128</v>
      </c>
      <c r="J680" s="535"/>
      <c r="K680" s="535"/>
    </row>
    <row r="681" spans="1:11">
      <c r="A681" s="517"/>
      <c r="B681" s="517"/>
      <c r="C681" s="517"/>
      <c r="D681" s="1308" t="s">
        <v>906</v>
      </c>
      <c r="E681" s="1308"/>
      <c r="F681" s="1308"/>
      <c r="H681" s="535"/>
      <c r="I681" s="517"/>
      <c r="J681" s="535"/>
      <c r="K681" s="535"/>
    </row>
    <row r="682" spans="1:11" ht="12.75" customHeight="1">
      <c r="A682" s="517"/>
      <c r="B682" s="517"/>
      <c r="C682" s="517"/>
      <c r="E682" s="1068" t="s">
        <v>2202</v>
      </c>
      <c r="F682" s="451"/>
      <c r="H682" s="535"/>
      <c r="I682" s="517"/>
      <c r="J682" s="535"/>
      <c r="K682" s="535"/>
    </row>
    <row r="683" spans="1:11">
      <c r="A683" s="517"/>
      <c r="B683" s="517"/>
      <c r="C683" s="517"/>
      <c r="E683" s="535" t="s">
        <v>2201</v>
      </c>
      <c r="F683" s="451"/>
      <c r="I683" s="517"/>
      <c r="J683" s="535"/>
      <c r="K683" s="535"/>
    </row>
    <row r="684" spans="1:11">
      <c r="A684" s="517"/>
      <c r="B684" s="517"/>
      <c r="C684" s="517"/>
      <c r="D684" s="536"/>
      <c r="E684" s="480"/>
      <c r="H684" s="535"/>
      <c r="I684" s="517"/>
      <c r="J684" s="535"/>
      <c r="K684" s="535"/>
    </row>
    <row r="685" spans="1:11" ht="14.25">
      <c r="A685" s="518"/>
      <c r="B685" s="519" t="s">
        <v>2627</v>
      </c>
      <c r="C685" s="517"/>
      <c r="D685" s="1279" t="s">
        <v>2371</v>
      </c>
      <c r="E685" s="1279"/>
      <c r="F685" s="1279"/>
      <c r="H685" s="535"/>
      <c r="I685" s="517" t="s">
        <v>2150</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2129</v>
      </c>
      <c r="J688" s="535"/>
      <c r="K688" s="535"/>
    </row>
    <row r="689" spans="1:11" ht="14.25">
      <c r="A689" s="518"/>
      <c r="B689" s="519" t="s">
        <v>2626</v>
      </c>
      <c r="C689" s="517"/>
      <c r="D689" s="1308" t="s">
        <v>934</v>
      </c>
      <c r="E689" s="1308"/>
      <c r="F689" s="1308"/>
      <c r="H689" s="535"/>
      <c r="I689" s="517"/>
      <c r="J689" s="535"/>
      <c r="K689" s="535"/>
    </row>
    <row r="690" spans="1:11" ht="14.25">
      <c r="A690" s="518"/>
      <c r="B690" s="518"/>
      <c r="C690" s="517"/>
      <c r="D690" s="1308" t="s">
        <v>906</v>
      </c>
      <c r="E690" s="1308"/>
      <c r="F690" s="1308"/>
      <c r="H690" s="535"/>
      <c r="I690" s="517"/>
      <c r="J690" s="535"/>
      <c r="K690" s="535"/>
    </row>
    <row r="691" spans="1:11">
      <c r="A691" s="517"/>
      <c r="B691" s="517"/>
      <c r="C691" s="517"/>
      <c r="E691" s="1068" t="s">
        <v>2203</v>
      </c>
      <c r="F691" s="435"/>
      <c r="H691" s="535"/>
      <c r="I691" s="517"/>
      <c r="J691" s="535"/>
      <c r="K691" s="535"/>
    </row>
    <row r="692" spans="1:11">
      <c r="A692" s="517"/>
      <c r="B692" s="517"/>
      <c r="C692" s="517"/>
      <c r="D692" s="435"/>
      <c r="H692" s="535"/>
      <c r="I692" s="517"/>
      <c r="J692" s="535"/>
      <c r="K692" s="535"/>
    </row>
    <row r="693" spans="1:11" ht="14.25">
      <c r="A693" s="518"/>
      <c r="B693" s="519" t="s">
        <v>2627</v>
      </c>
      <c r="C693" s="517"/>
      <c r="D693" s="1279" t="s">
        <v>1134</v>
      </c>
      <c r="E693" s="1279"/>
      <c r="F693" s="1279"/>
      <c r="H693" s="535"/>
      <c r="I693" s="517" t="s">
        <v>2101</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2627</v>
      </c>
      <c r="C700" s="517"/>
      <c r="D700" s="1279" t="s">
        <v>1305</v>
      </c>
      <c r="E700" s="1279"/>
      <c r="F700" s="1279"/>
      <c r="H700" s="535"/>
      <c r="I700" s="517" t="s">
        <v>2101</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2627</v>
      </c>
      <c r="C703" s="517"/>
      <c r="D703" s="1279" t="s">
        <v>1125</v>
      </c>
      <c r="E703" s="1279"/>
      <c r="F703" s="1279"/>
      <c r="H703" s="535"/>
      <c r="I703" s="517" t="s">
        <v>2101</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2627</v>
      </c>
      <c r="C716" s="517"/>
      <c r="D716" s="1279" t="s">
        <v>1132</v>
      </c>
      <c r="E716" s="1279"/>
      <c r="F716" s="1279"/>
      <c r="H716" s="535"/>
      <c r="I716" s="517" t="s">
        <v>2151</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2627</v>
      </c>
      <c r="C719" s="517"/>
      <c r="D719" s="1279" t="s">
        <v>1126</v>
      </c>
      <c r="E719" s="1279"/>
      <c r="F719" s="1279"/>
      <c r="H719" s="535"/>
      <c r="I719" s="517" t="s">
        <v>2151</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2627</v>
      </c>
      <c r="C723" s="517"/>
      <c r="D723" s="1279" t="s">
        <v>1127</v>
      </c>
      <c r="E723" s="1279"/>
      <c r="F723" s="1279"/>
      <c r="H723" s="535"/>
      <c r="I723" s="517" t="s">
        <v>2151</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2627</v>
      </c>
      <c r="C727" s="517"/>
      <c r="D727" s="1279" t="s">
        <v>1128</v>
      </c>
      <c r="E727" s="1279"/>
      <c r="F727" s="1279"/>
      <c r="H727" s="535"/>
      <c r="I727" s="517" t="s">
        <v>2102</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2627</v>
      </c>
      <c r="C732" s="517"/>
      <c r="D732" s="1279" t="s">
        <v>2494</v>
      </c>
      <c r="E732" s="1279"/>
      <c r="F732" s="1279"/>
      <c r="H732" s="535"/>
      <c r="I732" s="517" t="s">
        <v>2118</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2380</v>
      </c>
      <c r="E739" s="1291"/>
      <c r="F739" s="1291"/>
      <c r="H739" s="535"/>
      <c r="I739" s="517"/>
      <c r="J739" s="535"/>
      <c r="K739" s="535"/>
    </row>
    <row r="740" spans="1:11">
      <c r="A740" s="517"/>
      <c r="B740" s="517"/>
      <c r="C740" s="517"/>
      <c r="D740" s="369"/>
      <c r="H740" s="535"/>
      <c r="I740" s="517"/>
      <c r="J740" s="535"/>
      <c r="K740" s="535"/>
    </row>
    <row r="741" spans="1:11">
      <c r="A741" s="1286" t="s">
        <v>1086</v>
      </c>
      <c r="B741" s="1286"/>
      <c r="C741" s="1286"/>
      <c r="D741" s="1286"/>
      <c r="E741" s="1286"/>
      <c r="F741" s="1286"/>
      <c r="G741" s="1286"/>
      <c r="H741" s="1062"/>
      <c r="I741" s="1260"/>
      <c r="J741" s="535"/>
      <c r="K741" s="535"/>
    </row>
    <row r="742" spans="1:11">
      <c r="A742" s="517"/>
      <c r="B742" s="517"/>
      <c r="C742" s="517"/>
      <c r="D742" s="526"/>
      <c r="G742" s="535"/>
      <c r="H742" s="535"/>
      <c r="I742" s="517"/>
      <c r="J742" s="535"/>
      <c r="K742" s="535"/>
    </row>
    <row r="743" spans="1:11" ht="13.7" customHeight="1">
      <c r="C743" s="517"/>
      <c r="D743" s="1307" t="s">
        <v>1102</v>
      </c>
      <c r="E743" s="1307"/>
      <c r="F743" s="1307"/>
      <c r="G743" s="535"/>
      <c r="H743" s="535"/>
      <c r="I743" s="517"/>
      <c r="J743" s="535"/>
      <c r="K743" s="535"/>
    </row>
    <row r="744" spans="1:11">
      <c r="A744" s="517"/>
      <c r="B744" s="517"/>
      <c r="C744" s="517"/>
      <c r="D744" s="1294" t="s">
        <v>1103</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2626</v>
      </c>
      <c r="D746" s="1279" t="s">
        <v>1104</v>
      </c>
      <c r="E746" s="1279"/>
      <c r="F746" s="1279"/>
      <c r="G746" s="535"/>
      <c r="H746" s="535"/>
      <c r="I746" s="517" t="s">
        <v>2103</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2626</v>
      </c>
      <c r="C753" s="538"/>
      <c r="D753" s="1279" t="s">
        <v>1346</v>
      </c>
      <c r="E753" s="1279"/>
      <c r="F753" s="1279"/>
      <c r="I753" s="1261" t="s">
        <v>2103</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2627</v>
      </c>
      <c r="C758" s="538"/>
      <c r="D758" s="1281" t="s">
        <v>1347</v>
      </c>
      <c r="E758" s="1281"/>
      <c r="F758" s="1281"/>
      <c r="I758" s="1261" t="s">
        <v>2104</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2627</v>
      </c>
      <c r="D762" s="1279" t="s">
        <v>1302</v>
      </c>
      <c r="E762" s="1279"/>
      <c r="F762" s="1279"/>
      <c r="G762" s="535"/>
      <c r="H762" s="535"/>
      <c r="I762" s="517" t="s">
        <v>2103</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2627</v>
      </c>
      <c r="D765" s="1279" t="s">
        <v>1319</v>
      </c>
      <c r="E765" s="1279"/>
      <c r="F765" s="1279"/>
      <c r="G765" s="535"/>
      <c r="H765" s="535"/>
      <c r="I765" s="517" t="s">
        <v>2103</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1986</v>
      </c>
      <c r="B769" s="1333"/>
      <c r="C769" s="1333"/>
      <c r="D769" s="1333"/>
      <c r="E769" s="1333"/>
      <c r="F769" s="1333"/>
      <c r="G769" s="1333"/>
      <c r="H769" s="1060"/>
      <c r="I769" s="1256"/>
    </row>
    <row r="770" spans="1:9">
      <c r="A770" s="57"/>
      <c r="B770" s="57"/>
      <c r="C770" s="385"/>
      <c r="D770" s="3"/>
      <c r="E770" s="3"/>
      <c r="F770" s="3"/>
      <c r="G770" s="3"/>
      <c r="I770" s="524"/>
    </row>
    <row r="771" spans="1:9">
      <c r="A771" s="57"/>
      <c r="B771" s="57"/>
      <c r="C771" s="385"/>
      <c r="D771" s="1343" t="s">
        <v>2040</v>
      </c>
      <c r="E771" s="1343"/>
      <c r="F771" s="1343"/>
      <c r="G771" s="3"/>
      <c r="I771" s="524"/>
    </row>
    <row r="772" spans="1:9">
      <c r="A772" s="57"/>
      <c r="B772" s="57"/>
      <c r="C772" s="385"/>
      <c r="D772" s="1312" t="s">
        <v>1939</v>
      </c>
      <c r="E772" s="1312"/>
      <c r="F772" s="1312"/>
      <c r="G772" s="3"/>
      <c r="I772" s="524"/>
    </row>
    <row r="773" spans="1:9">
      <c r="A773" s="57"/>
      <c r="B773" s="57"/>
      <c r="C773" s="385"/>
      <c r="D773" s="481"/>
      <c r="E773" s="481"/>
      <c r="F773" s="481"/>
      <c r="G773" s="3"/>
      <c r="I773" s="524"/>
    </row>
    <row r="774" spans="1:9">
      <c r="A774" s="57"/>
      <c r="B774" s="519" t="s">
        <v>2626</v>
      </c>
      <c r="C774" s="385"/>
      <c r="D774" s="1297" t="s">
        <v>1940</v>
      </c>
      <c r="E774" s="1297"/>
      <c r="F774" s="1297"/>
      <c r="G774" s="3"/>
      <c r="I774" s="517" t="s">
        <v>2153</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2627</v>
      </c>
      <c r="C778" s="172"/>
      <c r="D778" s="1297" t="s">
        <v>1941</v>
      </c>
      <c r="E778" s="1297"/>
      <c r="F778" s="1297"/>
      <c r="G778" s="3"/>
      <c r="I778" s="517" t="s">
        <v>2153</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0"/>
      <c r="F781" s="1020"/>
      <c r="G781" s="1020"/>
      <c r="I781" s="524"/>
    </row>
    <row r="782" spans="1:9" ht="14.25">
      <c r="A782" s="176"/>
      <c r="B782" s="519" t="s">
        <v>2627</v>
      </c>
      <c r="C782" s="1021"/>
      <c r="D782" s="1297" t="s">
        <v>1942</v>
      </c>
      <c r="E782" s="1297"/>
      <c r="F782" s="1297"/>
      <c r="G782" s="1020"/>
      <c r="I782" s="517" t="s">
        <v>2153</v>
      </c>
    </row>
    <row r="783" spans="1:9" ht="14.25">
      <c r="A783" s="176"/>
      <c r="B783" s="176"/>
      <c r="C783" s="1021"/>
      <c r="D783" s="1297"/>
      <c r="E783" s="1297"/>
      <c r="F783" s="1297"/>
      <c r="G783" s="1020"/>
      <c r="I783" s="524"/>
    </row>
    <row r="784" spans="1:9" ht="14.25">
      <c r="A784" s="176"/>
      <c r="B784" s="176"/>
      <c r="C784" s="1021"/>
      <c r="D784" s="1297"/>
      <c r="E784" s="1297"/>
      <c r="F784" s="1297"/>
      <c r="G784" s="1020"/>
      <c r="I784" s="524"/>
    </row>
    <row r="785" spans="1:9" ht="14.25">
      <c r="A785" s="176"/>
      <c r="B785" s="176"/>
      <c r="C785" s="1021"/>
      <c r="D785" s="118"/>
      <c r="E785" s="3"/>
      <c r="F785" s="3"/>
      <c r="G785" s="1020"/>
      <c r="I785" s="524"/>
    </row>
    <row r="786" spans="1:9" ht="14.25">
      <c r="A786" s="176"/>
      <c r="B786" s="519" t="s">
        <v>2627</v>
      </c>
      <c r="C786" s="1021"/>
      <c r="D786" s="1297" t="s">
        <v>1943</v>
      </c>
      <c r="E786" s="1297"/>
      <c r="F786" s="1297"/>
      <c r="G786" s="1020"/>
      <c r="I786" s="517" t="s">
        <v>2153</v>
      </c>
    </row>
    <row r="787" spans="1:9" ht="14.25">
      <c r="A787" s="176"/>
      <c r="B787" s="176"/>
      <c r="C787" s="1021"/>
      <c r="D787" s="1297"/>
      <c r="E787" s="1297"/>
      <c r="F787" s="1297"/>
      <c r="G787" s="1020"/>
      <c r="I787" s="524"/>
    </row>
    <row r="788" spans="1:9" ht="14.25">
      <c r="A788" s="176"/>
      <c r="B788" s="176"/>
      <c r="C788" s="1021"/>
      <c r="D788" s="1297"/>
      <c r="E788" s="1297"/>
      <c r="F788" s="1297"/>
      <c r="G788" s="1020"/>
      <c r="I788" s="524"/>
    </row>
    <row r="789" spans="1:9" ht="14.25">
      <c r="A789" s="176"/>
      <c r="B789" s="176"/>
      <c r="C789" s="1021"/>
      <c r="D789" s="1297"/>
      <c r="E789" s="1297"/>
      <c r="F789" s="1297"/>
      <c r="G789" s="1020"/>
      <c r="I789" s="524"/>
    </row>
    <row r="790" spans="1:9" ht="14.25">
      <c r="A790" s="176"/>
      <c r="B790" s="176"/>
      <c r="C790" s="1021"/>
      <c r="D790" s="1297"/>
      <c r="E790" s="1297"/>
      <c r="F790" s="1297"/>
      <c r="G790" s="1020"/>
      <c r="I790" s="524"/>
    </row>
    <row r="791" spans="1:9" ht="14.25">
      <c r="A791" s="176"/>
      <c r="B791" s="176"/>
      <c r="C791" s="1021"/>
      <c r="D791" s="1297"/>
      <c r="E791" s="1297"/>
      <c r="F791" s="1297"/>
      <c r="G791" s="1020"/>
      <c r="I791" s="524"/>
    </row>
    <row r="792" spans="1:9" ht="14.25">
      <c r="A792" s="176"/>
      <c r="B792" s="176"/>
      <c r="C792" s="1021"/>
      <c r="D792" s="1297" t="s">
        <v>1987</v>
      </c>
      <c r="E792" s="1297"/>
      <c r="F792" s="1297"/>
      <c r="G792" s="1020"/>
      <c r="I792" s="524"/>
    </row>
    <row r="793" spans="1:9" ht="14.25">
      <c r="A793" s="176"/>
      <c r="B793" s="176"/>
      <c r="C793" s="1021"/>
      <c r="D793" s="1297"/>
      <c r="E793" s="1297"/>
      <c r="F793" s="1297"/>
      <c r="G793" s="1020"/>
      <c r="I793" s="524"/>
    </row>
    <row r="794" spans="1:9" ht="14.25">
      <c r="A794" s="176"/>
      <c r="B794" s="176"/>
      <c r="C794" s="1021"/>
      <c r="D794" s="1297"/>
      <c r="E794" s="1297"/>
      <c r="F794" s="1297"/>
      <c r="G794" s="1020"/>
      <c r="I794" s="524"/>
    </row>
    <row r="795" spans="1:9" ht="14.25">
      <c r="A795" s="176"/>
      <c r="B795" s="385"/>
      <c r="C795" s="1021"/>
      <c r="D795" s="1022"/>
      <c r="E795" s="1022"/>
      <c r="F795" s="1022"/>
      <c r="G795" s="1020"/>
      <c r="I795" s="524"/>
    </row>
    <row r="796" spans="1:9" ht="14.25">
      <c r="A796" s="176"/>
      <c r="B796" s="519" t="s">
        <v>2627</v>
      </c>
      <c r="C796" s="1021"/>
      <c r="D796" s="1297" t="s">
        <v>1944</v>
      </c>
      <c r="E796" s="1297"/>
      <c r="F796" s="1297"/>
      <c r="G796" s="1020"/>
      <c r="I796" s="517" t="s">
        <v>2153</v>
      </c>
    </row>
    <row r="797" spans="1:9" ht="14.25">
      <c r="A797" s="176"/>
      <c r="B797" s="176"/>
      <c r="C797" s="1021"/>
      <c r="D797" s="1297"/>
      <c r="E797" s="1297"/>
      <c r="F797" s="1297"/>
      <c r="G797" s="1020"/>
      <c r="I797" s="524"/>
    </row>
    <row r="798" spans="1:9" ht="14.25">
      <c r="A798" s="176"/>
      <c r="B798" s="176"/>
      <c r="C798" s="1021"/>
      <c r="D798" s="1297"/>
      <c r="E798" s="1297"/>
      <c r="F798" s="1297"/>
      <c r="G798" s="1020"/>
      <c r="I798" s="524"/>
    </row>
    <row r="799" spans="1:9" ht="14.25">
      <c r="A799" s="176"/>
      <c r="B799" s="176"/>
      <c r="C799" s="1021"/>
      <c r="D799" s="1297"/>
      <c r="E799" s="1297"/>
      <c r="F799" s="1297"/>
      <c r="G799" s="1020"/>
      <c r="I799" s="524"/>
    </row>
    <row r="800" spans="1:9" ht="14.25">
      <c r="A800" s="176"/>
      <c r="B800" s="176"/>
      <c r="C800" s="1021"/>
      <c r="D800" s="1297"/>
      <c r="E800" s="1297"/>
      <c r="F800" s="1297"/>
      <c r="G800" s="1020"/>
      <c r="I800" s="524"/>
    </row>
    <row r="801" spans="1:9" ht="14.25">
      <c r="A801" s="176"/>
      <c r="B801" s="176"/>
      <c r="C801" s="1021"/>
      <c r="D801" s="1297"/>
      <c r="E801" s="1297"/>
      <c r="F801" s="1297"/>
      <c r="G801" s="1020"/>
      <c r="I801" s="524"/>
    </row>
    <row r="802" spans="1:9" ht="14.25">
      <c r="A802" s="176"/>
      <c r="B802" s="176"/>
      <c r="C802" s="1021"/>
      <c r="D802" s="1014"/>
      <c r="E802" s="1014"/>
      <c r="F802" s="1014"/>
      <c r="G802" s="1020"/>
      <c r="I802" s="524"/>
    </row>
    <row r="803" spans="1:9" ht="14.25">
      <c r="A803" s="176"/>
      <c r="B803" s="519" t="s">
        <v>2627</v>
      </c>
      <c r="C803" s="1021"/>
      <c r="D803" s="1297" t="s">
        <v>1945</v>
      </c>
      <c r="E803" s="1297"/>
      <c r="F803" s="1297"/>
      <c r="G803" s="1020"/>
      <c r="I803" s="517" t="s">
        <v>2153</v>
      </c>
    </row>
    <row r="804" spans="1:9" ht="14.25">
      <c r="A804" s="176"/>
      <c r="B804" s="176"/>
      <c r="C804" s="1021"/>
      <c r="D804" s="1297"/>
      <c r="E804" s="1297"/>
      <c r="F804" s="1297"/>
      <c r="G804" s="1020"/>
      <c r="I804" s="524"/>
    </row>
    <row r="805" spans="1:9" ht="14.25">
      <c r="A805" s="176"/>
      <c r="B805" s="176"/>
      <c r="C805" s="1021"/>
      <c r="D805" s="1297"/>
      <c r="E805" s="1297"/>
      <c r="F805" s="1297"/>
      <c r="G805" s="1020"/>
      <c r="I805" s="524"/>
    </row>
    <row r="806" spans="1:9" ht="14.25">
      <c r="A806" s="176"/>
      <c r="B806" s="176"/>
      <c r="C806" s="1021"/>
      <c r="D806" s="1297"/>
      <c r="E806" s="1297"/>
      <c r="F806" s="1297"/>
      <c r="G806" s="1020"/>
      <c r="I806" s="524"/>
    </row>
    <row r="807" spans="1:9" ht="14.25">
      <c r="A807" s="176"/>
      <c r="B807" s="176"/>
      <c r="C807" s="1021"/>
      <c r="D807" s="1297"/>
      <c r="E807" s="1297"/>
      <c r="F807" s="1297"/>
      <c r="G807" s="1020"/>
      <c r="I807" s="524"/>
    </row>
    <row r="808" spans="1:9" ht="14.25">
      <c r="A808" s="176"/>
      <c r="B808" s="176"/>
      <c r="C808" s="1021"/>
      <c r="D808" s="1297"/>
      <c r="E808" s="1297"/>
      <c r="F808" s="1297"/>
      <c r="G808" s="1020"/>
      <c r="I808" s="524"/>
    </row>
    <row r="809" spans="1:9" ht="14.25">
      <c r="A809" s="176"/>
      <c r="B809" s="176"/>
      <c r="C809" s="1021"/>
      <c r="D809" s="1014"/>
      <c r="E809" s="1014"/>
      <c r="F809" s="1014"/>
      <c r="G809" s="1020"/>
      <c r="I809" s="524"/>
    </row>
    <row r="810" spans="1:9" ht="14.25">
      <c r="A810" s="176"/>
      <c r="B810" s="519" t="s">
        <v>2627</v>
      </c>
      <c r="C810" s="1021"/>
      <c r="D810" s="1305" t="s">
        <v>1946</v>
      </c>
      <c r="E810" s="1305"/>
      <c r="F810" s="1305"/>
      <c r="G810" s="1020"/>
      <c r="I810" s="517" t="s">
        <v>2153</v>
      </c>
    </row>
    <row r="811" spans="1:9" ht="14.25">
      <c r="A811" s="176"/>
      <c r="B811" s="176"/>
      <c r="C811" s="1021"/>
      <c r="D811" s="1305"/>
      <c r="E811" s="1305"/>
      <c r="F811" s="1305"/>
      <c r="G811" s="1020"/>
      <c r="I811" s="524"/>
    </row>
    <row r="812" spans="1:9">
      <c r="A812" s="13"/>
      <c r="B812" s="13"/>
      <c r="C812" s="1021"/>
      <c r="D812" s="1305"/>
      <c r="E812" s="1305"/>
      <c r="F812" s="1305"/>
      <c r="G812" s="1020"/>
      <c r="I812" s="524"/>
    </row>
    <row r="813" spans="1:9" ht="14.25">
      <c r="A813" s="176"/>
      <c r="B813" s="13"/>
      <c r="C813" s="1021"/>
      <c r="D813" s="1305"/>
      <c r="E813" s="1305"/>
      <c r="F813" s="1305"/>
      <c r="G813" s="1020"/>
      <c r="I813" s="524"/>
    </row>
    <row r="814" spans="1:9" ht="12.75" customHeight="1">
      <c r="A814" s="176"/>
      <c r="B814" s="13"/>
      <c r="C814" s="1021"/>
      <c r="D814" s="1305"/>
      <c r="E814" s="1305"/>
      <c r="F814" s="1305"/>
      <c r="G814" s="1020"/>
      <c r="I814" s="524"/>
    </row>
    <row r="815" spans="1:9" ht="12.75" customHeight="1">
      <c r="A815" s="176"/>
      <c r="B815" s="13"/>
      <c r="C815" s="1021"/>
      <c r="D815" s="1305"/>
      <c r="E815" s="1305"/>
      <c r="F815" s="1305"/>
      <c r="G815" s="1020"/>
      <c r="I815" s="524"/>
    </row>
    <row r="816" spans="1:9" ht="12.75" customHeight="1">
      <c r="A816" s="13"/>
      <c r="B816" s="13"/>
      <c r="C816" s="1021"/>
      <c r="D816" s="1020"/>
      <c r="E816" s="3"/>
      <c r="F816" s="3"/>
      <c r="G816" s="1020"/>
      <c r="I816" s="524"/>
    </row>
    <row r="817" spans="1:9" ht="12.75" customHeight="1">
      <c r="A817" s="1292" t="s">
        <v>1947</v>
      </c>
      <c r="B817" s="1292"/>
      <c r="C817" s="1292"/>
      <c r="D817" s="1292"/>
      <c r="E817" s="1292"/>
      <c r="F817" s="1292"/>
      <c r="G817" s="1292"/>
      <c r="H817" s="1060"/>
      <c r="I817" s="1256"/>
    </row>
    <row r="818" spans="1:9" ht="12.75" customHeight="1">
      <c r="A818" s="172"/>
      <c r="B818" s="172"/>
      <c r="C818" s="1021"/>
      <c r="D818" s="1020"/>
      <c r="E818" s="1020"/>
      <c r="F818" s="1020"/>
      <c r="G818" s="1020"/>
      <c r="I818" s="524"/>
    </row>
    <row r="819" spans="1:9" ht="12.75" customHeight="1">
      <c r="A819" s="176"/>
      <c r="B819" s="176"/>
      <c r="C819" s="385"/>
      <c r="D819" s="1296" t="s">
        <v>1988</v>
      </c>
      <c r="E819" s="1296"/>
      <c r="F819" s="1296"/>
      <c r="G819" s="3"/>
      <c r="I819" s="524"/>
    </row>
    <row r="820" spans="1:9" ht="14.25" customHeight="1">
      <c r="A820" s="176"/>
      <c r="B820" s="176"/>
      <c r="C820" s="385"/>
      <c r="D820" s="1264" t="s">
        <v>1948</v>
      </c>
      <c r="E820" s="1264"/>
      <c r="F820" s="1264"/>
      <c r="G820" s="3"/>
      <c r="I820" s="524"/>
    </row>
    <row r="821" spans="1:9" ht="12.75" customHeight="1">
      <c r="A821" s="176"/>
      <c r="B821" s="176"/>
      <c r="C821" s="385"/>
      <c r="D821" s="474"/>
      <c r="E821" s="474"/>
      <c r="F821" s="474"/>
      <c r="G821" s="3"/>
      <c r="I821" s="524"/>
    </row>
    <row r="822" spans="1:9" ht="12.75" customHeight="1">
      <c r="A822" s="385"/>
      <c r="B822" s="519" t="s">
        <v>2626</v>
      </c>
      <c r="C822" s="1021"/>
      <c r="D822" s="1264" t="s">
        <v>1949</v>
      </c>
      <c r="E822" s="1264"/>
      <c r="F822" s="1264"/>
      <c r="G822" s="3"/>
      <c r="I822" s="524" t="s">
        <v>2121</v>
      </c>
    </row>
    <row r="823" spans="1:9" ht="14.25" customHeight="1">
      <c r="A823" s="13"/>
      <c r="B823" s="13"/>
      <c r="C823" s="1021"/>
      <c r="E823" s="1068" t="s">
        <v>2185</v>
      </c>
      <c r="F823" s="1070"/>
      <c r="G823" s="3"/>
      <c r="I823" s="524"/>
    </row>
    <row r="824" spans="1:9" ht="12.75" customHeight="1">
      <c r="A824" s="13"/>
      <c r="B824" s="13"/>
      <c r="C824" s="1021"/>
      <c r="D824" s="1023"/>
      <c r="E824" s="3"/>
      <c r="F824" s="3"/>
      <c r="G824" s="3"/>
      <c r="I824" s="524"/>
    </row>
    <row r="825" spans="1:9" ht="14.25" hidden="1" customHeight="1">
      <c r="A825" s="13"/>
      <c r="B825" s="519" t="s">
        <v>307</v>
      </c>
      <c r="C825" s="1021"/>
      <c r="D825" s="1341" t="s">
        <v>2381</v>
      </c>
      <c r="E825" s="1341"/>
      <c r="F825" s="1341"/>
      <c r="G825" s="3"/>
      <c r="I825" s="524"/>
    </row>
    <row r="826" spans="1:9" ht="12.75" hidden="1" customHeight="1">
      <c r="A826" s="13"/>
      <c r="B826" s="13"/>
      <c r="C826" s="1021"/>
      <c r="D826" s="1341"/>
      <c r="E826" s="1341"/>
      <c r="F826" s="1341"/>
      <c r="G826" s="3"/>
      <c r="I826" s="524"/>
    </row>
    <row r="827" spans="1:9" ht="12.75" hidden="1" customHeight="1">
      <c r="A827" s="13"/>
      <c r="B827" s="13"/>
      <c r="C827" s="1021"/>
      <c r="D827" s="1341"/>
      <c r="E827" s="1341"/>
      <c r="F827" s="1341"/>
      <c r="G827" s="3"/>
      <c r="I827" s="524"/>
    </row>
    <row r="828" spans="1:9" ht="12.75" hidden="1" customHeight="1">
      <c r="A828" s="13"/>
      <c r="B828" s="13"/>
      <c r="C828" s="1021"/>
      <c r="D828" s="1341"/>
      <c r="E828" s="1341"/>
      <c r="F828" s="1341"/>
      <c r="G828" s="3"/>
      <c r="I828" s="524"/>
    </row>
    <row r="829" spans="1:9" ht="12.75" hidden="1" customHeight="1">
      <c r="A829" s="13"/>
      <c r="B829" s="13"/>
      <c r="C829" s="1021"/>
      <c r="D829" s="1341"/>
      <c r="E829" s="1341"/>
      <c r="F829" s="1341"/>
      <c r="G829" s="3"/>
      <c r="I829" s="524"/>
    </row>
    <row r="830" spans="1:9" ht="12.75" hidden="1" customHeight="1">
      <c r="A830" s="13"/>
      <c r="B830" s="13"/>
      <c r="C830" s="1021"/>
      <c r="D830" s="1341"/>
      <c r="E830" s="1341"/>
      <c r="F830" s="1341"/>
      <c r="G830" s="3"/>
      <c r="I830" s="524"/>
    </row>
    <row r="831" spans="1:9" ht="12.75" hidden="1" customHeight="1">
      <c r="A831" s="13"/>
      <c r="B831" s="13"/>
      <c r="C831" s="1021"/>
      <c r="D831" s="1341"/>
      <c r="E831" s="1341"/>
      <c r="F831" s="1341"/>
      <c r="G831" s="3"/>
      <c r="I831" s="524"/>
    </row>
    <row r="832" spans="1:9" ht="12.75" hidden="1" customHeight="1">
      <c r="A832" s="13"/>
      <c r="B832" s="13"/>
      <c r="C832" s="1021"/>
      <c r="D832" s="1341"/>
      <c r="E832" s="1341"/>
      <c r="F832" s="1341"/>
      <c r="G832" s="3"/>
      <c r="I832" s="524"/>
    </row>
    <row r="833" spans="1:9" ht="12.75" hidden="1" customHeight="1">
      <c r="A833" s="13"/>
      <c r="B833" s="13"/>
      <c r="C833" s="1021"/>
      <c r="D833" s="1341"/>
      <c r="E833" s="1341"/>
      <c r="F833" s="1341"/>
      <c r="G833" s="3"/>
      <c r="I833" s="524"/>
    </row>
    <row r="834" spans="1:9" ht="12.75" hidden="1" customHeight="1">
      <c r="A834" s="13"/>
      <c r="B834" s="13"/>
      <c r="C834" s="1021"/>
      <c r="D834" s="1341"/>
      <c r="E834" s="1341"/>
      <c r="F834" s="1341"/>
      <c r="G834" s="3"/>
      <c r="I834" s="524"/>
    </row>
    <row r="835" spans="1:9" ht="12.75" hidden="1" customHeight="1">
      <c r="A835" s="13"/>
      <c r="B835" s="13"/>
      <c r="C835" s="1021"/>
      <c r="D835" s="1023"/>
      <c r="E835" s="3"/>
      <c r="F835" s="3"/>
      <c r="G835" s="3"/>
      <c r="I835" s="524"/>
    </row>
    <row r="836" spans="1:9" ht="12.75" customHeight="1">
      <c r="A836" s="176"/>
      <c r="B836" s="519" t="s">
        <v>2626</v>
      </c>
      <c r="C836" s="1021"/>
      <c r="D836" s="1264" t="s">
        <v>1950</v>
      </c>
      <c r="E836" s="1264"/>
      <c r="F836" s="1264"/>
      <c r="G836" s="3"/>
      <c r="I836" s="524" t="s">
        <v>2139</v>
      </c>
    </row>
    <row r="837" spans="1:9" ht="12.75" customHeight="1">
      <c r="A837" s="176"/>
      <c r="B837" s="176"/>
      <c r="C837" s="1021"/>
      <c r="D837" s="1264"/>
      <c r="E837" s="1264"/>
      <c r="F837" s="1264"/>
      <c r="G837" s="3"/>
      <c r="I837" s="524"/>
    </row>
    <row r="838" spans="1:9" ht="12.75" customHeight="1">
      <c r="A838" s="176"/>
      <c r="B838" s="176"/>
      <c r="C838" s="1021"/>
      <c r="D838" s="1264"/>
      <c r="E838" s="1264"/>
      <c r="F838" s="1264"/>
      <c r="G838" s="3"/>
      <c r="I838" s="524"/>
    </row>
    <row r="839" spans="1:9" ht="12.75" customHeight="1">
      <c r="A839" s="176"/>
      <c r="B839" s="176"/>
      <c r="C839" s="1021"/>
      <c r="D839" s="118"/>
      <c r="E839" s="3"/>
      <c r="F839" s="3"/>
      <c r="G839" s="3"/>
      <c r="I839" s="524"/>
    </row>
    <row r="840" spans="1:9" ht="12.75" customHeight="1">
      <c r="A840" s="1024"/>
      <c r="B840" s="519" t="s">
        <v>2627</v>
      </c>
      <c r="C840" s="1021"/>
      <c r="D840" s="1296" t="s">
        <v>1951</v>
      </c>
      <c r="E840" s="1296"/>
      <c r="F840" s="1296"/>
      <c r="G840" s="3"/>
      <c r="I840" s="524"/>
    </row>
    <row r="841" spans="1:9" ht="12.75" customHeight="1">
      <c r="A841" s="385"/>
      <c r="B841" s="1024"/>
      <c r="C841" s="1021"/>
      <c r="D841" s="1296"/>
      <c r="E841" s="1296"/>
      <c r="F841" s="1296"/>
      <c r="G841" s="3"/>
      <c r="I841" s="524"/>
    </row>
    <row r="842" spans="1:9" ht="12.75" customHeight="1">
      <c r="A842" s="176"/>
      <c r="B842" s="385"/>
      <c r="C842" s="1021"/>
      <c r="D842" s="1264" t="s">
        <v>2372</v>
      </c>
      <c r="E842" s="1264"/>
      <c r="F842" s="1264"/>
      <c r="G842" s="3"/>
      <c r="I842" s="524"/>
    </row>
    <row r="843" spans="1:9" ht="12.75" customHeight="1">
      <c r="A843" s="176"/>
      <c r="B843" s="176"/>
      <c r="C843" s="1021"/>
      <c r="D843" s="1264"/>
      <c r="E843" s="1264"/>
      <c r="F843" s="1264"/>
      <c r="G843" s="3"/>
      <c r="I843" s="524"/>
    </row>
    <row r="844" spans="1:9" ht="12.75" customHeight="1">
      <c r="A844" s="176"/>
      <c r="B844" s="176"/>
      <c r="C844" s="1021"/>
      <c r="D844" s="1264"/>
      <c r="E844" s="1264"/>
      <c r="F844" s="1264"/>
      <c r="G844" s="3"/>
      <c r="I844" s="524"/>
    </row>
    <row r="845" spans="1:9" ht="12.75" customHeight="1">
      <c r="A845" s="176"/>
      <c r="B845" s="176"/>
      <c r="C845" s="1021"/>
      <c r="D845" s="1264"/>
      <c r="E845" s="1264"/>
      <c r="F845" s="1264"/>
      <c r="G845" s="3"/>
      <c r="I845" s="524"/>
    </row>
    <row r="846" spans="1:9" ht="12.75" customHeight="1">
      <c r="A846" s="176"/>
      <c r="B846" s="176"/>
      <c r="C846" s="1021"/>
      <c r="D846" s="1264"/>
      <c r="E846" s="1264"/>
      <c r="F846" s="1264"/>
      <c r="G846" s="3"/>
      <c r="I846" s="524"/>
    </row>
    <row r="847" spans="1:9" ht="12.75" customHeight="1">
      <c r="A847" s="176"/>
      <c r="B847" s="176"/>
      <c r="C847" s="1021"/>
      <c r="D847" s="1264"/>
      <c r="E847" s="1264"/>
      <c r="F847" s="1264"/>
      <c r="G847" s="3"/>
      <c r="I847" s="524"/>
    </row>
    <row r="848" spans="1:9" ht="12.75" customHeight="1">
      <c r="A848" s="176"/>
      <c r="B848" s="176"/>
      <c r="C848" s="1021"/>
      <c r="D848" s="118"/>
      <c r="E848" s="3"/>
      <c r="F848" s="3"/>
      <c r="G848" s="3"/>
      <c r="I848" s="524"/>
    </row>
    <row r="849" spans="1:9" ht="12.75" customHeight="1">
      <c r="A849" s="176"/>
      <c r="B849" s="519" t="s">
        <v>2627</v>
      </c>
      <c r="C849" s="1021"/>
      <c r="D849" s="1264" t="s">
        <v>1952</v>
      </c>
      <c r="E849" s="1264"/>
      <c r="F849" s="1264"/>
      <c r="G849" s="3"/>
      <c r="I849" s="524" t="s">
        <v>2122</v>
      </c>
    </row>
    <row r="850" spans="1:9" ht="12.75" customHeight="1">
      <c r="A850" s="176"/>
      <c r="B850" s="176"/>
      <c r="C850" s="1021"/>
      <c r="D850" s="1264" t="s">
        <v>1953</v>
      </c>
      <c r="E850" s="1264"/>
      <c r="F850" s="1264"/>
      <c r="G850" s="3"/>
      <c r="I850" s="524"/>
    </row>
    <row r="851" spans="1:9" ht="12.75" customHeight="1">
      <c r="A851" s="176"/>
      <c r="B851" s="176"/>
      <c r="C851" s="1021"/>
      <c r="E851" s="1068" t="s">
        <v>2187</v>
      </c>
      <c r="F851" s="1070"/>
      <c r="G851" s="3"/>
      <c r="I851" s="524"/>
    </row>
    <row r="852" spans="1:9" ht="12.75" customHeight="1">
      <c r="A852" s="176"/>
      <c r="B852" s="176"/>
      <c r="C852" s="1021"/>
      <c r="D852" s="118"/>
      <c r="E852" s="3"/>
      <c r="F852" s="3"/>
      <c r="G852" s="3"/>
      <c r="I852" s="524"/>
    </row>
    <row r="853" spans="1:9" ht="12.75" customHeight="1">
      <c r="A853" s="176"/>
      <c r="B853" s="519" t="s">
        <v>2627</v>
      </c>
      <c r="C853" s="1021"/>
      <c r="D853" s="1264" t="s">
        <v>1954</v>
      </c>
      <c r="E853" s="1264"/>
      <c r="F853" s="1264"/>
      <c r="G853" s="3"/>
      <c r="I853" s="524" t="s">
        <v>2140</v>
      </c>
    </row>
    <row r="854" spans="1:9" ht="12.75" customHeight="1">
      <c r="A854" s="176"/>
      <c r="B854" s="176"/>
      <c r="C854" s="1021"/>
      <c r="D854" s="1264"/>
      <c r="E854" s="1264"/>
      <c r="F854" s="1264"/>
      <c r="G854" s="3"/>
      <c r="I854" s="524"/>
    </row>
    <row r="855" spans="1:9" ht="12.75" customHeight="1">
      <c r="A855" s="176"/>
      <c r="B855" s="176"/>
      <c r="C855" s="1021"/>
      <c r="D855" s="1264"/>
      <c r="E855" s="1264"/>
      <c r="F855" s="1264"/>
      <c r="G855" s="3"/>
      <c r="I855" s="524"/>
    </row>
    <row r="856" spans="1:9" ht="12.75" customHeight="1">
      <c r="A856" s="176"/>
      <c r="B856" s="176"/>
      <c r="C856" s="1021"/>
      <c r="D856" s="1264"/>
      <c r="E856" s="1264"/>
      <c r="F856" s="1264"/>
      <c r="G856" s="3"/>
      <c r="I856" s="524"/>
    </row>
    <row r="857" spans="1:9" ht="12.75" customHeight="1">
      <c r="A857" s="172"/>
      <c r="B857" s="172"/>
      <c r="C857" s="172"/>
      <c r="D857" s="118"/>
      <c r="E857" s="3"/>
      <c r="F857" s="3"/>
      <c r="G857" s="3"/>
      <c r="I857" s="524"/>
    </row>
    <row r="858" spans="1:9" ht="12.75" customHeight="1">
      <c r="A858" s="1015" t="s">
        <v>1955</v>
      </c>
      <c r="B858" s="1015"/>
      <c r="C858" s="1025"/>
      <c r="D858" s="1025"/>
      <c r="E858" s="1025"/>
      <c r="F858" s="1025"/>
      <c r="G858" s="1025"/>
      <c r="H858" s="1060"/>
      <c r="I858" s="1256"/>
    </row>
    <row r="859" spans="1:9" ht="12.75" customHeight="1">
      <c r="A859" s="172"/>
      <c r="B859" s="172"/>
      <c r="C859" s="172"/>
      <c r="D859" s="1026"/>
      <c r="E859" s="3"/>
      <c r="F859" s="3"/>
      <c r="G859" s="3"/>
      <c r="I859" s="524"/>
    </row>
    <row r="860" spans="1:9" ht="12.75" customHeight="1">
      <c r="A860" s="385"/>
      <c r="B860" s="385"/>
      <c r="C860" s="175"/>
      <c r="D860" s="1283" t="s">
        <v>1989</v>
      </c>
      <c r="E860" s="1283"/>
      <c r="F860" s="1283"/>
      <c r="G860" s="1020"/>
      <c r="I860" s="524"/>
    </row>
    <row r="861" spans="1:9" ht="12.75" customHeight="1">
      <c r="A861" s="385"/>
      <c r="B861" s="385"/>
      <c r="C861" s="175"/>
      <c r="D861" s="1340" t="s">
        <v>1956</v>
      </c>
      <c r="E861" s="1340"/>
      <c r="F861" s="1340"/>
      <c r="G861" s="1020"/>
      <c r="I861" s="524"/>
    </row>
    <row r="862" spans="1:9" ht="12.75" customHeight="1">
      <c r="A862" s="385"/>
      <c r="B862" s="385"/>
      <c r="C862" s="175"/>
      <c r="D862" s="1027"/>
      <c r="E862" s="1027"/>
      <c r="F862" s="1027"/>
      <c r="G862" s="1020"/>
      <c r="I862" s="524"/>
    </row>
    <row r="863" spans="1:9" ht="12.75" customHeight="1">
      <c r="A863" s="176"/>
      <c r="B863" s="519" t="s">
        <v>2626</v>
      </c>
      <c r="C863" s="385"/>
      <c r="D863" s="1284" t="s">
        <v>1957</v>
      </c>
      <c r="E863" s="1284"/>
      <c r="F863" s="1284"/>
      <c r="G863" s="1020"/>
      <c r="I863" s="524" t="s">
        <v>2122</v>
      </c>
    </row>
    <row r="864" spans="1:9" ht="12.75" customHeight="1">
      <c r="A864" s="385"/>
      <c r="B864" s="385"/>
      <c r="C864" s="385"/>
      <c r="D864" s="2" t="s">
        <v>1932</v>
      </c>
      <c r="E864" s="1068" t="s">
        <v>2187</v>
      </c>
      <c r="F864" s="1071"/>
      <c r="G864" s="1020"/>
      <c r="I864" s="524"/>
    </row>
    <row r="865" spans="1:9" ht="12.75" customHeight="1">
      <c r="A865" s="385"/>
      <c r="B865" s="385"/>
      <c r="C865" s="385"/>
      <c r="D865" s="118"/>
      <c r="E865" s="1020"/>
      <c r="F865" s="1020"/>
      <c r="G865" s="1020"/>
      <c r="I865" s="524"/>
    </row>
    <row r="866" spans="1:9" ht="12.75" customHeight="1">
      <c r="A866" s="176"/>
      <c r="B866" s="519" t="s">
        <v>2626</v>
      </c>
      <c r="C866" s="385"/>
      <c r="D866" s="1264" t="s">
        <v>1958</v>
      </c>
      <c r="E866" s="1313"/>
      <c r="F866" s="1313"/>
      <c r="G866" s="3"/>
      <c r="I866" s="524" t="s">
        <v>2140</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2627</v>
      </c>
      <c r="C869" s="385"/>
      <c r="D869" s="1344" t="s">
        <v>1959</v>
      </c>
      <c r="E869" s="1344"/>
      <c r="F869" s="1344"/>
      <c r="G869" s="1020"/>
      <c r="I869" s="524"/>
    </row>
    <row r="870" spans="1:9" ht="12.75" customHeight="1">
      <c r="A870" s="385"/>
      <c r="B870" s="1028"/>
      <c r="C870" s="385"/>
      <c r="D870" s="1344"/>
      <c r="E870" s="1344"/>
      <c r="F870" s="1344"/>
      <c r="G870" s="1020"/>
      <c r="I870" s="524"/>
    </row>
    <row r="871" spans="1:9" ht="12.75" customHeight="1">
      <c r="A871" s="176"/>
      <c r="B871"/>
      <c r="C871" s="385"/>
      <c r="D871" s="1264" t="s">
        <v>2372</v>
      </c>
      <c r="E871" s="1264"/>
      <c r="F871" s="1264"/>
      <c r="G871" s="1020"/>
      <c r="I871" s="524"/>
    </row>
    <row r="872" spans="1:9" ht="12.75" customHeight="1">
      <c r="A872" s="176"/>
      <c r="B872" s="176"/>
      <c r="C872" s="385"/>
      <c r="D872" s="1264"/>
      <c r="E872" s="1264"/>
      <c r="F872" s="1264"/>
      <c r="G872" s="1020"/>
      <c r="I872" s="524"/>
    </row>
    <row r="873" spans="1:9" ht="12.75" customHeight="1">
      <c r="A873" s="176"/>
      <c r="B873" s="176"/>
      <c r="C873" s="385"/>
      <c r="D873" s="1264"/>
      <c r="E873" s="1264"/>
      <c r="F873" s="1264"/>
      <c r="G873" s="1020"/>
      <c r="I873" s="524"/>
    </row>
    <row r="874" spans="1:9" ht="12.75" customHeight="1">
      <c r="A874" s="176"/>
      <c r="B874" s="176"/>
      <c r="C874" s="385"/>
      <c r="D874" s="1264"/>
      <c r="E874" s="1264"/>
      <c r="F874" s="1264"/>
      <c r="G874" s="1020"/>
      <c r="I874" s="524"/>
    </row>
    <row r="875" spans="1:9" ht="12.75" customHeight="1">
      <c r="A875" s="176"/>
      <c r="B875" s="176"/>
      <c r="C875" s="385"/>
      <c r="D875" s="1264"/>
      <c r="E875" s="1264"/>
      <c r="F875" s="1264"/>
      <c r="G875" s="1020"/>
      <c r="I875" s="524"/>
    </row>
    <row r="876" spans="1:9" ht="12.75" customHeight="1">
      <c r="A876" s="176"/>
      <c r="B876" s="176"/>
      <c r="C876" s="385"/>
      <c r="D876" s="1264"/>
      <c r="E876" s="1264"/>
      <c r="F876" s="1264"/>
      <c r="G876" s="1020"/>
      <c r="I876" s="524"/>
    </row>
    <row r="877" spans="1:9" ht="12.75" customHeight="1">
      <c r="A877" s="176"/>
      <c r="B877" s="176"/>
      <c r="C877" s="385"/>
      <c r="D877" s="118"/>
      <c r="E877" s="1020"/>
      <c r="F877" s="1020"/>
      <c r="G877" s="1020"/>
      <c r="I877" s="524"/>
    </row>
    <row r="878" spans="1:9" ht="12.75" customHeight="1">
      <c r="A878" s="176"/>
      <c r="B878" s="519" t="s">
        <v>2627</v>
      </c>
      <c r="C878" s="385"/>
      <c r="D878" s="1288" t="s">
        <v>1952</v>
      </c>
      <c r="E878" s="1288"/>
      <c r="F878" s="1288"/>
      <c r="G878" s="1020"/>
      <c r="I878" s="524" t="s">
        <v>2122</v>
      </c>
    </row>
    <row r="879" spans="1:9" ht="12.75" customHeight="1">
      <c r="A879" s="176"/>
      <c r="B879" s="176"/>
      <c r="C879" s="385"/>
      <c r="D879" s="1288" t="s">
        <v>1953</v>
      </c>
      <c r="E879" s="1288"/>
      <c r="F879" s="1288"/>
      <c r="G879" s="1020"/>
      <c r="I879" s="524"/>
    </row>
    <row r="880" spans="1:9" ht="12.75" customHeight="1">
      <c r="A880" s="176"/>
      <c r="B880" s="176"/>
      <c r="C880" s="385"/>
      <c r="D880" s="2" t="s">
        <v>1378</v>
      </c>
      <c r="E880" s="1068" t="s">
        <v>2187</v>
      </c>
      <c r="F880" s="1072"/>
      <c r="G880" s="1020"/>
      <c r="I880" s="524"/>
    </row>
    <row r="881" spans="1:9" ht="12.75" customHeight="1">
      <c r="A881" s="176"/>
      <c r="B881" s="176"/>
      <c r="C881" s="385"/>
      <c r="D881" s="118"/>
      <c r="E881" s="1020"/>
      <c r="F881" s="1020"/>
      <c r="G881" s="1020"/>
      <c r="I881" s="524"/>
    </row>
    <row r="882" spans="1:9" ht="12.75" customHeight="1">
      <c r="A882" s="176"/>
      <c r="B882" s="519" t="s">
        <v>2627</v>
      </c>
      <c r="C882" s="385"/>
      <c r="D882" s="1264" t="s">
        <v>1954</v>
      </c>
      <c r="E882" s="1264"/>
      <c r="F882" s="1264"/>
      <c r="G882" s="1020"/>
      <c r="I882" s="524" t="s">
        <v>2140</v>
      </c>
    </row>
    <row r="883" spans="1:9" ht="12.75" customHeight="1">
      <c r="A883" s="176"/>
      <c r="B883" s="176"/>
      <c r="C883" s="385"/>
      <c r="D883" s="1264"/>
      <c r="E883" s="1264"/>
      <c r="F883" s="1264"/>
      <c r="G883" s="1020"/>
      <c r="I883" s="524"/>
    </row>
    <row r="884" spans="1:9" ht="12.75" customHeight="1">
      <c r="A884" s="176"/>
      <c r="B884" s="176"/>
      <c r="C884" s="385"/>
      <c r="D884" s="1264"/>
      <c r="E884" s="1264"/>
      <c r="F884" s="1264"/>
      <c r="G884" s="1020"/>
      <c r="I884" s="524"/>
    </row>
    <row r="885" spans="1:9" ht="12.75" customHeight="1">
      <c r="A885" s="176"/>
      <c r="B885" s="176"/>
      <c r="C885" s="385"/>
      <c r="D885" s="1264"/>
      <c r="E885" s="1264"/>
      <c r="F885" s="1264"/>
      <c r="G885" s="1020"/>
      <c r="I885" s="524"/>
    </row>
    <row r="886" spans="1:9" ht="12.75" customHeight="1">
      <c r="A886" s="118"/>
      <c r="B886" s="118"/>
      <c r="C886" s="1021"/>
      <c r="D886" s="1020"/>
      <c r="E886" s="1020"/>
      <c r="F886" s="1020"/>
      <c r="G886" s="1020"/>
      <c r="I886" s="524"/>
    </row>
    <row r="887" spans="1:9" ht="12.75" customHeight="1">
      <c r="A887" s="1292" t="s">
        <v>1990</v>
      </c>
      <c r="B887" s="1292"/>
      <c r="C887" s="1292"/>
      <c r="D887" s="1292"/>
      <c r="E887" s="1292"/>
      <c r="F887" s="1292"/>
      <c r="G887" s="1292"/>
      <c r="H887" s="1060"/>
      <c r="I887" s="1256"/>
    </row>
    <row r="888" spans="1:9" ht="12.75" customHeight="1">
      <c r="A888" s="57"/>
      <c r="B888" s="57"/>
      <c r="C888" s="57"/>
      <c r="D888" s="57"/>
      <c r="E888" s="57"/>
      <c r="F888" s="57"/>
      <c r="G888" s="57"/>
      <c r="I888" s="524"/>
    </row>
    <row r="889" spans="1:9" ht="12.75" customHeight="1">
      <c r="A889" s="57"/>
      <c r="B889" s="57"/>
      <c r="C889" s="57"/>
      <c r="D889" s="1298" t="s">
        <v>1996</v>
      </c>
      <c r="E889" s="1298"/>
      <c r="F889" s="1298"/>
      <c r="G889" s="57"/>
      <c r="I889" s="524"/>
    </row>
    <row r="890" spans="1:9" ht="12.75" customHeight="1">
      <c r="A890" s="57"/>
      <c r="B890" s="57"/>
      <c r="C890" s="57"/>
      <c r="D890" s="1013"/>
      <c r="E890" s="1013"/>
      <c r="F890" s="1013"/>
      <c r="G890" s="57"/>
      <c r="I890" s="524"/>
    </row>
    <row r="891" spans="1:9" ht="12.75" customHeight="1">
      <c r="A891" s="57"/>
      <c r="B891" s="519" t="s">
        <v>2626</v>
      </c>
      <c r="C891" s="57"/>
      <c r="D891" s="1016" t="s">
        <v>1997</v>
      </c>
      <c r="E891" s="1013"/>
      <c r="F891" s="1013"/>
      <c r="G891" s="57"/>
      <c r="I891" s="524" t="s">
        <v>2154</v>
      </c>
    </row>
    <row r="892" spans="1:9" ht="12.75" customHeight="1">
      <c r="A892" s="57"/>
      <c r="B892" s="57"/>
      <c r="C892" s="57"/>
      <c r="D892" s="1013"/>
      <c r="E892" s="1013"/>
      <c r="F892" s="1013"/>
      <c r="G892" s="57"/>
      <c r="I892" s="524"/>
    </row>
    <row r="893" spans="1:9" ht="12.75" customHeight="1">
      <c r="A893" s="385"/>
      <c r="B893" s="385"/>
      <c r="C893" s="1021"/>
      <c r="D893" s="1298" t="s">
        <v>1991</v>
      </c>
      <c r="E893" s="1298"/>
      <c r="F893" s="1298"/>
      <c r="G893" s="1020"/>
      <c r="I893" s="524"/>
    </row>
    <row r="894" spans="1:9" ht="12.75" customHeight="1">
      <c r="A894" s="172"/>
      <c r="B894" s="172"/>
      <c r="C894" s="172"/>
      <c r="D894" s="1284" t="s">
        <v>1960</v>
      </c>
      <c r="E894" s="1284"/>
      <c r="F894" s="1284"/>
      <c r="G894" s="1020"/>
      <c r="I894" s="524"/>
    </row>
    <row r="895" spans="1:9" ht="12.75" customHeight="1">
      <c r="A895" s="1021"/>
      <c r="B895" s="1021"/>
      <c r="C895" s="1021"/>
      <c r="D895" s="2"/>
      <c r="E895" s="1020"/>
      <c r="F895" s="1020"/>
      <c r="G895" s="1020"/>
      <c r="I895" s="524"/>
    </row>
    <row r="896" spans="1:9" ht="12.75" customHeight="1">
      <c r="A896" s="176"/>
      <c r="B896" s="519" t="s">
        <v>2626</v>
      </c>
      <c r="C896" s="385"/>
      <c r="D896" s="1264" t="s">
        <v>1964</v>
      </c>
      <c r="E896" s="1264"/>
      <c r="F896" s="1264"/>
      <c r="G896" s="3"/>
      <c r="I896" s="524" t="s">
        <v>2106</v>
      </c>
    </row>
    <row r="897" spans="1:9" ht="12.75" customHeight="1">
      <c r="A897" s="385"/>
      <c r="B897" s="385"/>
      <c r="C897" s="385"/>
      <c r="D897" s="1264"/>
      <c r="E897" s="1264"/>
      <c r="F897" s="1264"/>
      <c r="G897" s="3"/>
      <c r="I897" s="524"/>
    </row>
    <row r="898" spans="1:9" ht="12.75" customHeight="1">
      <c r="A898" s="172"/>
      <c r="B898" s="172"/>
      <c r="C898" s="172"/>
      <c r="D898" s="1264" t="s">
        <v>1963</v>
      </c>
      <c r="E898" s="1264"/>
      <c r="F898" s="1264"/>
      <c r="G898" s="1020"/>
      <c r="I898" s="524"/>
    </row>
    <row r="899" spans="1:9" ht="12.75" customHeight="1">
      <c r="A899" s="172"/>
      <c r="B899" s="172"/>
      <c r="C899" s="172"/>
      <c r="D899" s="1264"/>
      <c r="E899" s="1264"/>
      <c r="F899" s="1264"/>
      <c r="G899" s="1020"/>
      <c r="I899" s="524"/>
    </row>
    <row r="900" spans="1:9" ht="12.75" customHeight="1">
      <c r="A900" s="172"/>
      <c r="B900" s="172"/>
      <c r="C900" s="172"/>
      <c r="D900" s="3"/>
      <c r="E900" s="3"/>
      <c r="F900" s="1020"/>
      <c r="G900" s="1020"/>
      <c r="I900" s="524"/>
    </row>
    <row r="901" spans="1:9" ht="12.75" customHeight="1">
      <c r="A901" s="176"/>
      <c r="B901" s="519" t="s">
        <v>2626</v>
      </c>
      <c r="C901" s="175"/>
      <c r="D901" s="1268" t="s">
        <v>1961</v>
      </c>
      <c r="E901" s="1268"/>
      <c r="F901" s="1268"/>
      <c r="G901" s="1020"/>
      <c r="I901" s="524" t="s">
        <v>2105</v>
      </c>
    </row>
    <row r="902" spans="1:9" ht="12.75" customHeight="1">
      <c r="A902" s="176"/>
      <c r="B902" s="176"/>
      <c r="C902" s="175"/>
      <c r="D902" s="1268"/>
      <c r="E902" s="1268"/>
      <c r="F902" s="1268"/>
      <c r="G902" s="1020"/>
      <c r="I902" s="524"/>
    </row>
    <row r="903" spans="1:9" ht="12.75" customHeight="1">
      <c r="A903" s="176"/>
      <c r="B903" s="176"/>
      <c r="C903" s="175"/>
      <c r="D903" s="1268"/>
      <c r="E903" s="1268"/>
      <c r="F903" s="1268"/>
      <c r="G903" s="1020"/>
      <c r="I903" s="524"/>
    </row>
    <row r="904" spans="1:9" ht="12.75" customHeight="1">
      <c r="A904" s="176"/>
      <c r="B904" s="176"/>
      <c r="C904" s="175"/>
      <c r="D904" s="1268"/>
      <c r="E904" s="1268"/>
      <c r="F904" s="1268"/>
      <c r="G904" s="1020"/>
      <c r="I904" s="524"/>
    </row>
    <row r="905" spans="1:9" ht="12.75" customHeight="1">
      <c r="A905" s="176"/>
      <c r="B905" s="176"/>
      <c r="C905" s="175"/>
      <c r="D905" s="1268"/>
      <c r="E905" s="1268"/>
      <c r="F905" s="1268"/>
      <c r="G905" s="1020"/>
      <c r="I905" s="524"/>
    </row>
    <row r="906" spans="1:9" ht="12.75" customHeight="1">
      <c r="A906" s="175"/>
      <c r="B906" s="175"/>
      <c r="C906" s="175"/>
      <c r="D906" s="1268"/>
      <c r="E906" s="1268"/>
      <c r="F906" s="1268"/>
      <c r="G906" s="1020"/>
      <c r="I906" s="524"/>
    </row>
    <row r="907" spans="1:9" ht="12.75" customHeight="1">
      <c r="A907" s="175"/>
      <c r="B907" s="175"/>
      <c r="C907" s="175"/>
      <c r="D907" s="1268"/>
      <c r="E907" s="1268"/>
      <c r="F907" s="1268"/>
      <c r="G907" s="1020"/>
      <c r="I907" s="524"/>
    </row>
    <row r="908" spans="1:9" ht="12.75" customHeight="1">
      <c r="A908" s="175"/>
      <c r="B908" s="175"/>
      <c r="C908" s="175"/>
      <c r="D908" s="1268"/>
      <c r="E908" s="1268"/>
      <c r="F908" s="1268"/>
      <c r="G908" s="1020"/>
      <c r="I908" s="524"/>
    </row>
    <row r="909" spans="1:9" ht="12.75" customHeight="1">
      <c r="A909" s="175"/>
      <c r="B909" s="175"/>
      <c r="C909" s="175"/>
      <c r="D909" s="363"/>
      <c r="E909" s="363"/>
      <c r="F909" s="363"/>
      <c r="G909" s="1020"/>
      <c r="I909" s="524"/>
    </row>
    <row r="910" spans="1:9" ht="12.75" customHeight="1">
      <c r="A910" s="1021"/>
      <c r="B910" s="519" t="s">
        <v>2627</v>
      </c>
      <c r="C910" s="1021"/>
      <c r="D910" s="1264" t="s">
        <v>1965</v>
      </c>
      <c r="E910" s="1264"/>
      <c r="F910" s="1264"/>
      <c r="G910" s="1020"/>
      <c r="I910" s="524"/>
    </row>
    <row r="911" spans="1:9" ht="12.75" customHeight="1">
      <c r="A911" s="1021"/>
      <c r="B911" s="1021"/>
      <c r="C911" s="1021"/>
      <c r="D911" s="1264"/>
      <c r="E911" s="1264"/>
      <c r="F911" s="1264"/>
      <c r="G911" s="1020"/>
      <c r="I911" s="524"/>
    </row>
    <row r="912" spans="1:9" ht="12.75" customHeight="1">
      <c r="A912" s="1021"/>
      <c r="B912" s="1021"/>
      <c r="C912" s="1021"/>
      <c r="D912" s="1020"/>
      <c r="E912" s="1020"/>
      <c r="F912" s="1020"/>
      <c r="G912" s="1020"/>
      <c r="I912" s="524"/>
    </row>
    <row r="913" spans="1:9" ht="12.75" customHeight="1">
      <c r="A913" s="1021"/>
      <c r="B913" s="519" t="s">
        <v>2627</v>
      </c>
      <c r="C913" s="1021"/>
      <c r="D913" s="1305" t="s">
        <v>1966</v>
      </c>
      <c r="E913" s="1305"/>
      <c r="F913" s="1305"/>
      <c r="G913" s="1020"/>
      <c r="I913" s="524"/>
    </row>
    <row r="914" spans="1:9" ht="12.75" customHeight="1">
      <c r="A914" s="1021"/>
      <c r="B914" s="1021"/>
      <c r="C914" s="1021"/>
      <c r="D914" s="1305"/>
      <c r="E914" s="1305"/>
      <c r="F914" s="1305"/>
      <c r="G914" s="1020"/>
      <c r="I914" s="524"/>
    </row>
    <row r="915" spans="1:9" ht="12.75" customHeight="1">
      <c r="A915" s="1021"/>
      <c r="B915" s="1021"/>
      <c r="C915" s="1021"/>
      <c r="D915" s="1305"/>
      <c r="E915" s="1305"/>
      <c r="F915" s="1305"/>
      <c r="G915" s="1020"/>
      <c r="I915" s="524"/>
    </row>
    <row r="916" spans="1:9" ht="12.75" customHeight="1">
      <c r="A916" s="1021"/>
      <c r="B916" s="1021"/>
      <c r="C916" s="1021"/>
      <c r="D916" s="1305"/>
      <c r="E916" s="1305"/>
      <c r="F916" s="1305"/>
      <c r="G916" s="1020"/>
      <c r="I916" s="524"/>
    </row>
    <row r="917" spans="1:9" ht="12.75" customHeight="1">
      <c r="A917" s="1021"/>
      <c r="B917" s="1021"/>
      <c r="C917" s="1021"/>
      <c r="D917" s="118"/>
      <c r="E917" s="1020"/>
      <c r="F917" s="1020"/>
      <c r="G917" s="1020"/>
      <c r="I917" s="524"/>
    </row>
    <row r="918" spans="1:9" ht="12.75" customHeight="1">
      <c r="A918" s="1021"/>
      <c r="B918" s="519" t="s">
        <v>2627</v>
      </c>
      <c r="C918" s="1021"/>
      <c r="D918" s="1284" t="s">
        <v>2373</v>
      </c>
      <c r="E918" s="1284"/>
      <c r="F918" s="1284"/>
      <c r="G918" s="1020"/>
      <c r="I918" s="524"/>
    </row>
    <row r="919" spans="1:9" ht="12.75" customHeight="1">
      <c r="A919" s="1021"/>
      <c r="B919" s="1021"/>
      <c r="C919" s="1021"/>
      <c r="D919" s="118"/>
      <c r="E919" s="1020"/>
      <c r="F919" s="1020"/>
      <c r="G919" s="1020"/>
      <c r="I919" s="524"/>
    </row>
    <row r="920" spans="1:9" ht="12.75" customHeight="1">
      <c r="A920" s="1021"/>
      <c r="B920" s="519" t="s">
        <v>2627</v>
      </c>
      <c r="C920" s="1021"/>
      <c r="D920" s="1284" t="s">
        <v>2374</v>
      </c>
      <c r="E920" s="1284"/>
      <c r="F920" s="1284"/>
      <c r="G920" s="1020"/>
      <c r="I920" s="524"/>
    </row>
    <row r="921" spans="1:9" ht="12.75" customHeight="1">
      <c r="A921" s="175"/>
      <c r="B921" s="175"/>
      <c r="C921" s="175"/>
      <c r="D921" s="2"/>
      <c r="E921" s="3"/>
      <c r="F921" s="1020"/>
      <c r="G921" s="1020"/>
      <c r="I921" s="524"/>
    </row>
    <row r="922" spans="1:9" ht="12.75" customHeight="1">
      <c r="A922" s="1029"/>
      <c r="B922" s="519" t="s">
        <v>2626</v>
      </c>
      <c r="C922" s="1030"/>
      <c r="D922" s="1268" t="s">
        <v>1962</v>
      </c>
      <c r="E922" s="1268"/>
      <c r="F922" s="1268"/>
      <c r="G922" s="1031"/>
      <c r="I922" s="524" t="s">
        <v>2155</v>
      </c>
    </row>
    <row r="923" spans="1:9" ht="12.75" customHeight="1">
      <c r="A923" s="1029"/>
      <c r="B923" s="1029"/>
      <c r="C923" s="1030"/>
      <c r="D923" s="1268"/>
      <c r="E923" s="1268"/>
      <c r="F923" s="1268"/>
      <c r="G923" s="1031"/>
      <c r="I923" s="524"/>
    </row>
    <row r="924" spans="1:9" ht="12.75" customHeight="1">
      <c r="A924" s="1029"/>
      <c r="B924" s="1029"/>
      <c r="C924" s="1030"/>
      <c r="D924" s="1268"/>
      <c r="E924" s="1268"/>
      <c r="F924" s="1268"/>
      <c r="G924" s="1031"/>
      <c r="I924" s="524"/>
    </row>
    <row r="925" spans="1:9" ht="12.75" customHeight="1">
      <c r="A925" s="1029"/>
      <c r="B925" s="1029"/>
      <c r="C925" s="1030"/>
      <c r="D925" s="1268"/>
      <c r="E925" s="1268"/>
      <c r="F925" s="1268"/>
      <c r="G925" s="1031"/>
      <c r="I925" s="524"/>
    </row>
    <row r="926" spans="1:9" ht="12.75" customHeight="1">
      <c r="A926" s="1029"/>
      <c r="B926" s="1029"/>
      <c r="C926" s="1030"/>
      <c r="D926" s="1268"/>
      <c r="E926" s="1268"/>
      <c r="F926" s="1268"/>
      <c r="G926" s="1031"/>
      <c r="I926" s="524"/>
    </row>
    <row r="927" spans="1:9" ht="12.75" customHeight="1">
      <c r="A927" s="1029"/>
      <c r="B927" s="1029"/>
      <c r="C927" s="1030"/>
      <c r="D927" s="1268"/>
      <c r="E927" s="1268"/>
      <c r="F927" s="1268"/>
      <c r="G927" s="1031"/>
      <c r="I927" s="524"/>
    </row>
    <row r="928" spans="1:9" ht="12.75" customHeight="1">
      <c r="A928" s="1029"/>
      <c r="B928" s="1029"/>
      <c r="C928" s="1030"/>
      <c r="D928" s="1268"/>
      <c r="E928" s="1268"/>
      <c r="F928" s="1268"/>
      <c r="G928" s="1031"/>
      <c r="I928" s="524"/>
    </row>
    <row r="929" spans="1:9" ht="12.75" customHeight="1">
      <c r="A929" s="1029"/>
      <c r="B929" s="1029"/>
      <c r="C929" s="1030"/>
      <c r="D929" s="1268"/>
      <c r="E929" s="1268"/>
      <c r="F929" s="1268"/>
      <c r="G929" s="1031"/>
      <c r="I929" s="524"/>
    </row>
    <row r="930" spans="1:9" ht="12.75" customHeight="1">
      <c r="A930" s="1029"/>
      <c r="B930" s="1029"/>
      <c r="C930" s="1030"/>
      <c r="D930" s="1268"/>
      <c r="E930" s="1268"/>
      <c r="F930" s="1268"/>
      <c r="G930" s="1031"/>
      <c r="I930" s="524"/>
    </row>
    <row r="931" spans="1:9" ht="12.75" customHeight="1">
      <c r="A931" s="175"/>
      <c r="B931" s="175"/>
      <c r="C931" s="175"/>
      <c r="D931" s="2"/>
      <c r="E931" s="3"/>
      <c r="F931" s="1020"/>
      <c r="G931" s="1020"/>
      <c r="I931" s="524"/>
    </row>
    <row r="932" spans="1:9" ht="12.75" customHeight="1">
      <c r="A932" s="176"/>
      <c r="B932" s="519" t="s">
        <v>2626</v>
      </c>
      <c r="C932" s="175"/>
      <c r="D932" s="1345" t="s">
        <v>2157</v>
      </c>
      <c r="E932" s="1345"/>
      <c r="F932" s="1345"/>
      <c r="G932" s="1020"/>
      <c r="I932" s="524" t="s">
        <v>2155</v>
      </c>
    </row>
    <row r="933" spans="1:9" ht="12.75" customHeight="1">
      <c r="A933" s="176"/>
      <c r="B933" s="176"/>
      <c r="C933" s="175"/>
      <c r="D933" s="1345"/>
      <c r="E933" s="1345"/>
      <c r="F933" s="1345"/>
      <c r="G933" s="1020"/>
      <c r="I933" s="524"/>
    </row>
    <row r="934" spans="1:9" ht="12.75" customHeight="1">
      <c r="A934" s="176"/>
      <c r="B934" s="176"/>
      <c r="C934" s="175"/>
      <c r="D934" s="1345"/>
      <c r="E934" s="1345"/>
      <c r="F934" s="1345"/>
      <c r="G934" s="1020"/>
      <c r="I934" s="524"/>
    </row>
    <row r="935" spans="1:9" ht="12.75" customHeight="1">
      <c r="A935" s="176"/>
      <c r="B935" s="176"/>
      <c r="C935" s="175"/>
      <c r="D935" s="1345"/>
      <c r="E935" s="1345"/>
      <c r="F935" s="1345"/>
      <c r="G935" s="1020"/>
      <c r="I935" s="524"/>
    </row>
    <row r="936" spans="1:9" ht="12.75" customHeight="1">
      <c r="A936" s="176"/>
      <c r="B936" s="176"/>
      <c r="C936" s="175"/>
      <c r="D936" s="1345"/>
      <c r="E936" s="1345"/>
      <c r="F936" s="1345"/>
      <c r="G936" s="1020"/>
      <c r="I936" s="524"/>
    </row>
    <row r="937" spans="1:9" ht="12.75" customHeight="1">
      <c r="A937" s="176"/>
      <c r="B937" s="176"/>
      <c r="C937" s="175"/>
      <c r="D937" s="1345"/>
      <c r="E937" s="1345"/>
      <c r="F937" s="1345"/>
      <c r="G937" s="1020"/>
      <c r="I937" s="524"/>
    </row>
    <row r="938" spans="1:9" ht="12.75" customHeight="1">
      <c r="A938" s="176"/>
      <c r="B938" s="176"/>
      <c r="C938" s="175"/>
      <c r="D938" s="1345"/>
      <c r="E938" s="1345"/>
      <c r="F938" s="1345"/>
      <c r="G938" s="1020"/>
      <c r="I938" s="524"/>
    </row>
    <row r="939" spans="1:9" ht="12.75" customHeight="1">
      <c r="A939" s="176"/>
      <c r="B939" s="176"/>
      <c r="C939" s="175"/>
      <c r="D939" s="1058"/>
      <c r="E939" s="1058"/>
      <c r="F939" s="1058"/>
      <c r="G939" s="1020"/>
      <c r="I939" s="524"/>
    </row>
    <row r="940" spans="1:9" ht="12.75" customHeight="1">
      <c r="A940" s="176"/>
      <c r="B940" s="519" t="s">
        <v>2626</v>
      </c>
      <c r="C940" s="175"/>
      <c r="D940" s="1267" t="s">
        <v>2446</v>
      </c>
      <c r="E940" s="1267"/>
      <c r="F940" s="1267"/>
      <c r="G940" s="1020"/>
      <c r="I940" s="524"/>
    </row>
    <row r="941" spans="1:9" ht="12.75" customHeight="1">
      <c r="A941" s="176"/>
      <c r="B941" s="176"/>
      <c r="C941" s="175"/>
      <c r="D941" s="1267"/>
      <c r="E941" s="1267"/>
      <c r="F941" s="1267"/>
      <c r="G941" s="1020"/>
      <c r="I941" s="524"/>
    </row>
    <row r="942" spans="1:9" ht="12.75" customHeight="1">
      <c r="A942" s="176"/>
      <c r="B942" s="176"/>
      <c r="C942" s="175"/>
      <c r="D942" s="1267"/>
      <c r="E942" s="1267"/>
      <c r="F942" s="1267"/>
      <c r="G942" s="1020"/>
      <c r="I942" s="524"/>
    </row>
    <row r="943" spans="1:9" ht="12.75" customHeight="1">
      <c r="A943" s="176"/>
      <c r="B943" s="176"/>
      <c r="C943" s="175"/>
      <c r="D943" s="1267"/>
      <c r="E943" s="1267"/>
      <c r="F943" s="1267"/>
      <c r="G943" s="1020"/>
      <c r="I943" s="524"/>
    </row>
    <row r="944" spans="1:9" ht="12.75" customHeight="1">
      <c r="A944" s="176"/>
      <c r="B944" s="176"/>
      <c r="C944" s="175"/>
      <c r="D944" s="1267"/>
      <c r="E944" s="1267"/>
      <c r="F944" s="1267"/>
      <c r="G944" s="1020"/>
      <c r="I944" s="524"/>
    </row>
    <row r="945" spans="1:9" ht="12.75" customHeight="1">
      <c r="A945" s="176"/>
      <c r="B945" s="176"/>
      <c r="C945" s="175"/>
      <c r="D945" s="1267"/>
      <c r="E945" s="1267"/>
      <c r="F945" s="1267"/>
      <c r="G945" s="1020"/>
      <c r="I945" s="524"/>
    </row>
    <row r="946" spans="1:9" ht="12.75" customHeight="1">
      <c r="A946" s="176"/>
      <c r="B946" s="176"/>
      <c r="C946" s="175"/>
      <c r="D946" s="1058"/>
      <c r="E946" s="1058"/>
      <c r="F946" s="1058"/>
      <c r="G946" s="1020"/>
      <c r="I946" s="524"/>
    </row>
    <row r="947" spans="1:9" ht="12.75" customHeight="1">
      <c r="A947" s="1021"/>
      <c r="B947" s="519" t="s">
        <v>2627</v>
      </c>
      <c r="C947" s="1021"/>
      <c r="D947" s="1305" t="s">
        <v>1967</v>
      </c>
      <c r="E947" s="1305"/>
      <c r="F947" s="1305"/>
      <c r="G947" s="1020"/>
      <c r="I947" s="524"/>
    </row>
    <row r="948" spans="1:9" ht="12.75" customHeight="1">
      <c r="A948" s="1021"/>
      <c r="B948" s="1021"/>
      <c r="C948" s="1021"/>
      <c r="D948" s="1305"/>
      <c r="E948" s="1305"/>
      <c r="F948" s="1305"/>
      <c r="G948" s="1020"/>
      <c r="I948" s="524"/>
    </row>
    <row r="949" spans="1:9" ht="12.75" customHeight="1">
      <c r="A949" s="1021"/>
      <c r="B949" s="1021"/>
      <c r="C949" s="1021"/>
      <c r="D949" s="1305"/>
      <c r="E949" s="1305"/>
      <c r="F949" s="1305"/>
      <c r="G949" s="1020"/>
      <c r="I949" s="524"/>
    </row>
    <row r="950" spans="1:9" ht="12.75" customHeight="1">
      <c r="A950" s="176"/>
      <c r="B950" s="176"/>
      <c r="C950" s="175"/>
      <c r="D950" s="1058"/>
      <c r="E950" s="1058"/>
      <c r="F950" s="1058"/>
      <c r="G950" s="1020"/>
      <c r="I950" s="524"/>
    </row>
    <row r="951" spans="1:9" ht="12.75" customHeight="1">
      <c r="A951" s="176"/>
      <c r="B951" s="176"/>
      <c r="C951" s="175"/>
      <c r="D951" s="878"/>
      <c r="E951" s="3"/>
      <c r="F951" s="1020"/>
      <c r="G951" s="1020"/>
      <c r="I951" s="524"/>
    </row>
    <row r="952" spans="1:9" ht="12.75" customHeight="1">
      <c r="A952" s="176"/>
      <c r="B952" s="519" t="s">
        <v>2627</v>
      </c>
      <c r="C952" s="175"/>
      <c r="D952" s="1268" t="s">
        <v>2156</v>
      </c>
      <c r="E952" s="1268"/>
      <c r="F952" s="1268"/>
      <c r="G952" s="1020"/>
      <c r="I952" s="524" t="s">
        <v>2155</v>
      </c>
    </row>
    <row r="953" spans="1:9" ht="12.75" customHeight="1">
      <c r="A953" s="176"/>
      <c r="B953" s="176"/>
      <c r="C953" s="175"/>
      <c r="D953" s="1268"/>
      <c r="E953" s="1268"/>
      <c r="F953" s="1268"/>
      <c r="G953" s="1020"/>
      <c r="I953" s="524"/>
    </row>
    <row r="954" spans="1:9" ht="12.75" customHeight="1">
      <c r="A954" s="176"/>
      <c r="B954" s="176"/>
      <c r="C954" s="175"/>
      <c r="D954" s="1268"/>
      <c r="E954" s="1268"/>
      <c r="F954" s="1268"/>
      <c r="G954" s="1020"/>
      <c r="I954" s="524"/>
    </row>
    <row r="955" spans="1:9" ht="12.75" customHeight="1">
      <c r="A955" s="176"/>
      <c r="B955" s="176"/>
      <c r="C955" s="175"/>
      <c r="D955" s="1268"/>
      <c r="E955" s="1268"/>
      <c r="F955" s="1268"/>
      <c r="G955" s="1020"/>
      <c r="I955" s="524"/>
    </row>
    <row r="956" spans="1:9" ht="12.75" customHeight="1">
      <c r="A956" s="1021"/>
      <c r="B956" s="1021"/>
      <c r="C956" s="1021"/>
      <c r="D956" s="1012"/>
      <c r="E956" s="1012"/>
      <c r="F956" s="1012"/>
      <c r="G956" s="1012"/>
      <c r="I956" s="524"/>
    </row>
    <row r="957" spans="1:9" ht="12.75" customHeight="1">
      <c r="A957" s="385"/>
      <c r="B957" s="385"/>
      <c r="C957" s="385"/>
      <c r="D957" s="1283" t="s">
        <v>1968</v>
      </c>
      <c r="E957" s="1283"/>
      <c r="F957" s="1283"/>
      <c r="G957" s="3"/>
      <c r="I957" s="524"/>
    </row>
    <row r="958" spans="1:9" ht="12.75" customHeight="1">
      <c r="A958" s="176"/>
      <c r="B958" s="519" t="s">
        <v>2627</v>
      </c>
      <c r="C958" s="385"/>
      <c r="D958" s="1284" t="s">
        <v>1992</v>
      </c>
      <c r="E958" s="1284"/>
      <c r="F958" s="1284"/>
      <c r="G958" s="3"/>
      <c r="I958" s="524" t="s">
        <v>2155</v>
      </c>
    </row>
    <row r="959" spans="1:9" ht="12.75" customHeight="1">
      <c r="A959" s="385"/>
      <c r="B959" s="385"/>
      <c r="C959" s="385"/>
      <c r="D959" s="3"/>
      <c r="E959" s="3"/>
      <c r="F959" s="3"/>
      <c r="G959" s="3"/>
      <c r="I959" s="524"/>
    </row>
    <row r="960" spans="1:9" ht="12.75" customHeight="1">
      <c r="A960" s="385"/>
      <c r="B960" s="385"/>
      <c r="C960" s="385"/>
      <c r="D960" s="1283" t="s">
        <v>1969</v>
      </c>
      <c r="E960" s="1283"/>
      <c r="F960" s="1283"/>
      <c r="G960"/>
      <c r="I960" s="524"/>
    </row>
    <row r="961" spans="1:9" ht="12.75" customHeight="1">
      <c r="A961" s="176"/>
      <c r="B961" s="519" t="s">
        <v>2627</v>
      </c>
      <c r="C961" s="385"/>
      <c r="D961" s="1264" t="s">
        <v>2375</v>
      </c>
      <c r="E961" s="1264"/>
      <c r="F961" s="1264"/>
      <c r="G961"/>
      <c r="I961" s="524" t="s">
        <v>2155</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1970</v>
      </c>
      <c r="B977" s="1292"/>
      <c r="C977" s="1292"/>
      <c r="D977" s="1292"/>
      <c r="E977" s="1292"/>
      <c r="F977" s="1292"/>
      <c r="G977" s="1292"/>
      <c r="H977" s="1060"/>
      <c r="I977" s="1256"/>
    </row>
    <row r="978" spans="1:9" ht="12.75" customHeight="1">
      <c r="A978" s="118"/>
      <c r="B978" s="118"/>
      <c r="C978" s="385"/>
      <c r="D978" s="3"/>
      <c r="E978" s="3"/>
      <c r="F978" s="3"/>
      <c r="G978" s="3"/>
      <c r="I978" s="524"/>
    </row>
    <row r="979" spans="1:9" ht="12.75" customHeight="1">
      <c r="A979" s="385"/>
      <c r="B979" s="385"/>
      <c r="C979" s="1021"/>
      <c r="D979" s="1283" t="s">
        <v>1993</v>
      </c>
      <c r="E979" s="1283"/>
      <c r="F979" s="1283"/>
      <c r="G979" s="3"/>
      <c r="I979" s="524"/>
    </row>
    <row r="980" spans="1:9" ht="12.75" customHeight="1">
      <c r="A980" s="172"/>
      <c r="B980" s="172"/>
      <c r="C980" s="172"/>
      <c r="D980" s="1284" t="s">
        <v>1971</v>
      </c>
      <c r="E980" s="1284"/>
      <c r="F980" s="1284"/>
      <c r="G980" s="3"/>
      <c r="I980" s="524"/>
    </row>
    <row r="981" spans="1:9" ht="12.75" customHeight="1">
      <c r="A981" s="172"/>
      <c r="B981" s="172"/>
      <c r="C981" s="172"/>
      <c r="D981" s="3"/>
      <c r="E981" s="3"/>
      <c r="F981" s="1020"/>
      <c r="G981"/>
      <c r="I981" s="524"/>
    </row>
    <row r="982" spans="1:9" ht="12.75" customHeight="1">
      <c r="A982" s="385"/>
      <c r="B982" s="519" t="s">
        <v>2626</v>
      </c>
      <c r="C982" s="385"/>
      <c r="D982" s="1347" t="s">
        <v>2205</v>
      </c>
      <c r="E982" s="1347"/>
      <c r="F982" s="1347"/>
      <c r="G982"/>
      <c r="I982" s="524" t="s">
        <v>2135</v>
      </c>
    </row>
    <row r="983" spans="1:9" ht="12.75" customHeight="1">
      <c r="A983" s="385"/>
      <c r="B983" s="385"/>
      <c r="C983" s="385"/>
      <c r="D983" s="1347"/>
      <c r="E983" s="1347"/>
      <c r="F983" s="1347"/>
      <c r="G983"/>
      <c r="I983" s="524"/>
    </row>
    <row r="984" spans="1:9" ht="12.75" customHeight="1">
      <c r="A984" s="385"/>
      <c r="B984" s="385"/>
      <c r="C984" s="385"/>
      <c r="D984" s="1070"/>
      <c r="E984" s="1068" t="s">
        <v>2206</v>
      </c>
      <c r="F984" s="1070"/>
      <c r="G984"/>
      <c r="I984" s="524"/>
    </row>
    <row r="985" spans="1:9" ht="12.75" customHeight="1">
      <c r="A985" s="385"/>
      <c r="B985" s="385"/>
      <c r="C985" s="385"/>
      <c r="D985" s="1270" t="s">
        <v>2204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2627</v>
      </c>
      <c r="C990" s="175"/>
      <c r="D990" s="1264" t="s">
        <v>1972</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2627</v>
      </c>
      <c r="C995" s="175"/>
      <c r="D995" s="1264" t="s">
        <v>1973</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2627</v>
      </c>
      <c r="C998" s="385"/>
      <c r="D998" s="1284" t="s">
        <v>1974</v>
      </c>
      <c r="E998" s="1284"/>
      <c r="F998" s="1284"/>
      <c r="G998"/>
      <c r="I998" s="524"/>
    </row>
    <row r="999" spans="1:9" ht="12.75" customHeight="1">
      <c r="A999" s="385"/>
      <c r="B999" s="385"/>
      <c r="C999" s="385"/>
      <c r="D999" s="3"/>
      <c r="E999" s="3"/>
      <c r="F999" s="3"/>
      <c r="G999"/>
      <c r="I999" s="524"/>
    </row>
    <row r="1000" spans="1:9" ht="12.75" customHeight="1">
      <c r="A1000" s="176"/>
      <c r="B1000" s="519" t="s">
        <v>2627</v>
      </c>
      <c r="C1000" s="385"/>
      <c r="D1000" s="1284" t="s">
        <v>1975</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2626</v>
      </c>
      <c r="C1002" s="385"/>
      <c r="D1002" s="1284" t="s">
        <v>1976</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2626</v>
      </c>
      <c r="C1004" s="385"/>
      <c r="D1004" s="1264" t="s">
        <v>1977</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2627</v>
      </c>
      <c r="C1007" s="1032"/>
      <c r="D1007" s="1297" t="s">
        <v>1978</v>
      </c>
      <c r="E1007" s="1297"/>
      <c r="F1007" s="1297"/>
      <c r="G1007" s="1033"/>
      <c r="I1007" s="524"/>
    </row>
    <row r="1008" spans="1:9" ht="12.75" customHeight="1">
      <c r="A1008" s="1032"/>
      <c r="B1008" s="1032"/>
      <c r="C1008" s="1032"/>
      <c r="D1008" s="1297"/>
      <c r="E1008" s="1297"/>
      <c r="F1008" s="1297"/>
      <c r="G1008" s="1033"/>
      <c r="I1008" s="524"/>
    </row>
    <row r="1009" spans="1:9" ht="12.75" customHeight="1">
      <c r="A1009" s="1032"/>
      <c r="B1009" s="1032"/>
      <c r="C1009" s="1032"/>
      <c r="D1009" s="1016"/>
      <c r="E1009" s="1033"/>
      <c r="F1009" s="1033"/>
      <c r="G1009" s="1033"/>
      <c r="I1009" s="524"/>
    </row>
    <row r="1010" spans="1:9" ht="12.75" customHeight="1">
      <c r="A1010" s="272"/>
      <c r="B1010" s="519" t="s">
        <v>2627</v>
      </c>
      <c r="C1010" s="1032"/>
      <c r="D1010" s="1346" t="s">
        <v>1979</v>
      </c>
      <c r="E1010" s="1346"/>
      <c r="F1010" s="1346"/>
      <c r="G1010" s="1033"/>
      <c r="I1010" s="524"/>
    </row>
    <row r="1011" spans="1:9" ht="12.75" customHeight="1">
      <c r="A1011" s="1032"/>
      <c r="B1011" s="1032"/>
      <c r="C1011" s="1032"/>
      <c r="D1011" s="1016"/>
      <c r="E1011" s="1033"/>
      <c r="F1011" s="1033"/>
      <c r="G1011" s="1033"/>
      <c r="I1011" s="524"/>
    </row>
    <row r="1012" spans="1:9" ht="12.75" customHeight="1">
      <c r="A1012" s="176"/>
      <c r="B1012" s="519" t="s">
        <v>2627</v>
      </c>
      <c r="C1012" s="385"/>
      <c r="D1012" s="1284" t="s">
        <v>1980</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2627</v>
      </c>
      <c r="C1014" s="385"/>
      <c r="D1014" s="1264" t="s">
        <v>1981</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1982</v>
      </c>
      <c r="B1017" s="1292"/>
      <c r="C1017" s="1292"/>
      <c r="D1017" s="1292"/>
      <c r="E1017" s="1292"/>
      <c r="F1017" s="1292"/>
      <c r="G1017" s="1292"/>
      <c r="H1017" s="1060"/>
      <c r="I1017" s="1256"/>
    </row>
    <row r="1018" spans="1:9" ht="12.75" customHeight="1">
      <c r="A1018" s="385"/>
      <c r="B1018" s="385"/>
      <c r="C1018" s="385"/>
      <c r="D1018" s="3"/>
      <c r="E1018" s="3"/>
      <c r="F1018" s="3"/>
      <c r="G1018" s="3"/>
      <c r="I1018" s="524"/>
    </row>
    <row r="1019" spans="1:9" ht="12.75" customHeight="1">
      <c r="A1019" s="385"/>
      <c r="B1019" s="385"/>
      <c r="C1019" s="385"/>
      <c r="D1019" s="1298" t="s">
        <v>1983</v>
      </c>
      <c r="E1019" s="1298"/>
      <c r="F1019" s="1298"/>
      <c r="G1019" s="3"/>
      <c r="I1019" s="524"/>
    </row>
    <row r="1020" spans="1:9" ht="12.75" customHeight="1">
      <c r="A1020" s="385"/>
      <c r="B1020" s="385"/>
      <c r="C1020" s="385"/>
      <c r="D1020" s="1346" t="s">
        <v>1984</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1998</v>
      </c>
      <c r="E1022" s="1298"/>
      <c r="F1022" s="1298"/>
      <c r="G1022" s="3"/>
      <c r="I1022" s="524" t="s">
        <v>2107</v>
      </c>
    </row>
    <row r="1023" spans="1:9" ht="12.75" customHeight="1">
      <c r="A1023" s="385"/>
      <c r="B1023" s="519" t="s">
        <v>2626</v>
      </c>
      <c r="C1023" s="385"/>
      <c r="D1023" s="1346" t="s">
        <v>1379</v>
      </c>
      <c r="E1023" s="1346"/>
      <c r="F1023" s="1346"/>
      <c r="G1023" s="3"/>
      <c r="I1023" s="524"/>
    </row>
    <row r="1024" spans="1:9" ht="12.75" customHeight="1">
      <c r="A1024" s="385"/>
      <c r="B1024" s="176"/>
      <c r="C1024" s="385"/>
      <c r="D1024" s="1346" t="s">
        <v>1985</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1994</v>
      </c>
      <c r="B1026" s="1292"/>
      <c r="C1026" s="1292"/>
      <c r="D1026" s="1292"/>
      <c r="E1026" s="1292"/>
      <c r="F1026" s="1292"/>
      <c r="G1026" s="1292"/>
      <c r="H1026" s="1060"/>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307</v>
      </c>
      <c r="D1029" s="1278" t="s">
        <v>1379</v>
      </c>
      <c r="E1029" s="1278"/>
      <c r="F1029" s="1278"/>
      <c r="G1029" s="3"/>
      <c r="I1029" s="524"/>
    </row>
    <row r="1030" spans="1:9" ht="12.75" hidden="1" customHeight="1">
      <c r="A1030" s="118"/>
      <c r="B1030" s="433"/>
      <c r="D1030" s="1278" t="s">
        <v>1995</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1093</v>
      </c>
      <c r="E1032" s="1352"/>
      <c r="F1032" s="1352"/>
      <c r="G1032" s="3"/>
      <c r="I1032" s="524" t="s">
        <v>2136</v>
      </c>
    </row>
    <row r="1033" spans="1:9" ht="12.75" customHeight="1">
      <c r="A1033" s="345"/>
      <c r="B1033" s="345"/>
      <c r="C1033" s="345"/>
      <c r="D1033" s="1288" t="s">
        <v>1110</v>
      </c>
      <c r="E1033" s="1288"/>
      <c r="F1033" s="1288"/>
      <c r="G1033" s="98"/>
      <c r="I1033" s="524"/>
    </row>
    <row r="1034" spans="1:9" ht="12.75" customHeight="1">
      <c r="A1034" s="176"/>
      <c r="B1034" s="519" t="s">
        <v>2627</v>
      </c>
      <c r="C1034" s="385"/>
      <c r="D1034" s="1288" t="s">
        <v>1003</v>
      </c>
      <c r="E1034" s="1288"/>
      <c r="F1034" s="1288"/>
      <c r="G1034" s="3"/>
      <c r="I1034" s="524"/>
    </row>
    <row r="1035" spans="1:9" ht="12.75" customHeight="1">
      <c r="A1035" s="385"/>
      <c r="B1035" s="385"/>
      <c r="C1035" s="385"/>
      <c r="D1035" s="1068" t="s">
        <v>2207</v>
      </c>
      <c r="E1035" s="96"/>
      <c r="F1035" s="96"/>
      <c r="G1035" s="3"/>
      <c r="I1035" s="524"/>
    </row>
    <row r="1036" spans="1:9">
      <c r="A1036" s="433"/>
      <c r="B1036" s="433"/>
      <c r="C1036" s="433"/>
      <c r="I1036" s="524"/>
    </row>
    <row r="1037" spans="1:9">
      <c r="A1037" s="1292" t="s">
        <v>2015</v>
      </c>
      <c r="B1037" s="1292"/>
      <c r="C1037" s="1292"/>
      <c r="D1037" s="1292"/>
      <c r="E1037" s="1292"/>
      <c r="F1037" s="1292"/>
      <c r="G1037" s="1292"/>
      <c r="H1037" s="1060"/>
      <c r="I1037" s="1256"/>
    </row>
    <row r="1038" spans="1:9">
      <c r="A1038" s="433"/>
      <c r="B1038" s="433"/>
      <c r="C1038" s="433"/>
      <c r="I1038" s="524"/>
    </row>
    <row r="1039" spans="1:9">
      <c r="A1039" s="433"/>
      <c r="B1039" s="433"/>
      <c r="C1039" s="433"/>
      <c r="D1039" s="435" t="s">
        <v>2001</v>
      </c>
      <c r="I1039" s="524"/>
    </row>
    <row r="1040" spans="1:9">
      <c r="A1040" s="433"/>
      <c r="B1040" s="433"/>
      <c r="C1040" s="433"/>
      <c r="D1040" s="433" t="s">
        <v>2000</v>
      </c>
      <c r="I1040" s="524"/>
    </row>
    <row r="1041" spans="1:9">
      <c r="A1041" s="433"/>
      <c r="B1041" s="433"/>
      <c r="C1041" s="433"/>
      <c r="D1041" s="435"/>
      <c r="I1041" s="524"/>
    </row>
    <row r="1042" spans="1:9">
      <c r="A1042" s="433"/>
      <c r="B1042" s="519" t="s">
        <v>2627</v>
      </c>
      <c r="C1042" s="433"/>
      <c r="D1042" s="1349" t="s">
        <v>1999</v>
      </c>
      <c r="E1042" s="1349"/>
      <c r="F1042" s="1349"/>
      <c r="I1042" s="524" t="s">
        <v>2108</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2002</v>
      </c>
      <c r="I1048" s="524"/>
    </row>
    <row r="1049" spans="1:9">
      <c r="A1049" s="433"/>
      <c r="B1049" s="433"/>
      <c r="C1049" s="433"/>
      <c r="I1049" s="524"/>
    </row>
    <row r="1050" spans="1:9">
      <c r="A1050" s="433"/>
      <c r="B1050" s="519" t="s">
        <v>2626</v>
      </c>
      <c r="C1050" s="433"/>
      <c r="D1050" s="433" t="s">
        <v>1997</v>
      </c>
      <c r="I1050" s="524" t="s">
        <v>2109</v>
      </c>
    </row>
    <row r="1051" spans="1:9">
      <c r="A1051" s="433"/>
      <c r="B1051" s="433"/>
      <c r="C1051" s="433"/>
      <c r="I1051" s="524"/>
    </row>
    <row r="1052" spans="1:9">
      <c r="A1052" s="433"/>
      <c r="B1052" s="519" t="s">
        <v>2626</v>
      </c>
      <c r="C1052" s="433"/>
      <c r="D1052" s="1349" t="s">
        <v>2003</v>
      </c>
      <c r="E1052" s="1349"/>
      <c r="F1052" s="1349"/>
      <c r="I1052" s="524" t="s">
        <v>2110</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2004</v>
      </c>
      <c r="B1058" s="1292"/>
      <c r="C1058" s="1292"/>
      <c r="D1058" s="1292"/>
      <c r="E1058" s="1292"/>
      <c r="F1058" s="1292"/>
      <c r="G1058" s="1292"/>
      <c r="H1058" s="1060"/>
      <c r="I1058" s="1256"/>
    </row>
    <row r="1059" spans="1:9">
      <c r="A1059" s="433"/>
      <c r="B1059" s="433"/>
      <c r="C1059" s="433"/>
      <c r="I1059" s="524"/>
    </row>
    <row r="1060" spans="1:9">
      <c r="A1060" s="433"/>
      <c r="B1060" s="433"/>
      <c r="C1060" s="433"/>
      <c r="I1060" s="524"/>
    </row>
    <row r="1061" spans="1:9">
      <c r="A1061" s="433"/>
      <c r="B1061" s="519" t="s">
        <v>2626</v>
      </c>
      <c r="C1061" s="433"/>
      <c r="D1061" s="561" t="s">
        <v>2007</v>
      </c>
      <c r="I1061" s="524" t="s">
        <v>2111</v>
      </c>
    </row>
    <row r="1062" spans="1:9">
      <c r="A1062" s="433"/>
      <c r="B1062" s="433"/>
      <c r="C1062" s="433"/>
      <c r="D1062" s="561" t="s">
        <v>2009</v>
      </c>
      <c r="I1062" s="524"/>
    </row>
    <row r="1063" spans="1:9">
      <c r="A1063" s="433"/>
      <c r="B1063" s="433"/>
      <c r="C1063" s="433"/>
      <c r="D1063" s="561"/>
      <c r="I1063" s="524"/>
    </row>
    <row r="1064" spans="1:9">
      <c r="A1064" s="433"/>
      <c r="B1064" s="519" t="s">
        <v>2627</v>
      </c>
      <c r="C1064" s="433"/>
      <c r="D1064" s="561" t="s">
        <v>2010</v>
      </c>
      <c r="I1064" s="524" t="s">
        <v>2112</v>
      </c>
    </row>
    <row r="1065" spans="1:9">
      <c r="A1065" s="433"/>
      <c r="B1065" s="433"/>
      <c r="C1065" s="433"/>
      <c r="D1065" s="561" t="s">
        <v>2008</v>
      </c>
      <c r="I1065" s="524"/>
    </row>
    <row r="1066" spans="1:9">
      <c r="A1066" s="433"/>
      <c r="B1066" s="433"/>
      <c r="C1066" s="433"/>
      <c r="D1066" s="561"/>
      <c r="I1066" s="524"/>
    </row>
    <row r="1067" spans="1:9">
      <c r="A1067" s="433"/>
      <c r="B1067" s="519" t="s">
        <v>2627</v>
      </c>
      <c r="C1067" s="433"/>
      <c r="D1067" s="119" t="s">
        <v>2013</v>
      </c>
      <c r="I1067" s="524" t="s">
        <v>2113</v>
      </c>
    </row>
    <row r="1068" spans="1:9">
      <c r="A1068" s="433"/>
      <c r="B1068" s="433"/>
      <c r="C1068" s="433"/>
      <c r="D1068" s="1264" t="s">
        <v>2014</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2012</v>
      </c>
      <c r="I1072" s="524"/>
    </row>
    <row r="1073" spans="1:9">
      <c r="A1073" s="433"/>
      <c r="B1073" s="433"/>
      <c r="C1073" s="433"/>
      <c r="D1073" s="119"/>
      <c r="I1073" s="524"/>
    </row>
    <row r="1074" spans="1:9">
      <c r="A1074" s="433"/>
      <c r="B1074" s="433"/>
      <c r="C1074" s="433"/>
      <c r="D1074" s="561" t="s">
        <v>2005</v>
      </c>
      <c r="I1074" s="524" t="s">
        <v>2114</v>
      </c>
    </row>
    <row r="1075" spans="1:9">
      <c r="A1075" s="433"/>
      <c r="B1075" s="519" t="s">
        <v>2627</v>
      </c>
      <c r="C1075" s="433"/>
      <c r="D1075" s="1348" t="s">
        <v>2006</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2011</v>
      </c>
      <c r="I1080" s="524"/>
    </row>
    <row r="1081" spans="1:9">
      <c r="A1081" s="433"/>
      <c r="B1081" s="433"/>
      <c r="C1081" s="433"/>
      <c r="I1081" s="524"/>
    </row>
    <row r="1082" spans="1:9">
      <c r="A1082" s="1292" t="s">
        <v>2016</v>
      </c>
      <c r="B1082" s="1292"/>
      <c r="C1082" s="1292"/>
      <c r="D1082" s="1292"/>
      <c r="E1082" s="1292"/>
      <c r="F1082" s="1292"/>
      <c r="G1082" s="1292"/>
      <c r="H1082" s="1060"/>
      <c r="I1082" s="1256"/>
    </row>
    <row r="1083" spans="1:9">
      <c r="A1083" s="433"/>
      <c r="B1083" s="433"/>
      <c r="C1083" s="433"/>
      <c r="I1083" s="524"/>
    </row>
    <row r="1084" spans="1:9">
      <c r="A1084" s="433"/>
      <c r="B1084" s="433"/>
      <c r="C1084" s="433"/>
      <c r="I1084" s="524"/>
    </row>
    <row r="1085" spans="1:9" ht="12.75" customHeight="1">
      <c r="A1085" s="433"/>
      <c r="B1085" s="519" t="s">
        <v>2627</v>
      </c>
      <c r="C1085" s="433"/>
      <c r="D1085" s="1350" t="s">
        <v>2219</v>
      </c>
      <c r="E1085" s="1350"/>
      <c r="F1085" s="1350"/>
      <c r="I1085" s="524" t="s">
        <v>2115</v>
      </c>
    </row>
    <row r="1086" spans="1:9">
      <c r="A1086" s="433"/>
      <c r="B1086" s="433"/>
      <c r="C1086" s="433"/>
      <c r="D1086" s="1350"/>
      <c r="E1086" s="1350"/>
      <c r="F1086" s="1350"/>
      <c r="I1086" s="524"/>
    </row>
    <row r="1087" spans="1:9">
      <c r="A1087" s="433"/>
      <c r="B1087" s="433"/>
      <c r="C1087" s="433"/>
      <c r="D1087" s="1351" t="s">
        <v>2492</v>
      </c>
      <c r="E1087" s="1264"/>
      <c r="F1087" s="1264"/>
      <c r="I1087" s="524"/>
    </row>
    <row r="1088" spans="1:9">
      <c r="A1088" s="433"/>
      <c r="B1088" s="433"/>
      <c r="C1088" s="433"/>
      <c r="D1088" s="561"/>
      <c r="I1088" s="524"/>
    </row>
    <row r="1089" spans="1:9">
      <c r="A1089" s="433"/>
      <c r="B1089" s="519" t="s">
        <v>2627</v>
      </c>
      <c r="C1089" s="433"/>
      <c r="D1089" s="1348" t="s">
        <v>2017</v>
      </c>
      <c r="E1089" s="1348"/>
      <c r="F1089" s="1348"/>
      <c r="I1089" s="524" t="s">
        <v>2116</v>
      </c>
    </row>
    <row r="1090" spans="1:9">
      <c r="A1090" s="433"/>
      <c r="B1090" s="433"/>
      <c r="C1090" s="433"/>
      <c r="D1090" s="1348"/>
      <c r="E1090" s="1348"/>
      <c r="F1090" s="1348"/>
      <c r="I1090" s="524"/>
    </row>
    <row r="1091" spans="1:9">
      <c r="A1091" s="433"/>
      <c r="B1091" s="433"/>
      <c r="C1091" s="433"/>
      <c r="D1091" s="561"/>
      <c r="I1091" s="524"/>
    </row>
    <row r="1092" spans="1:9">
      <c r="A1092" s="433"/>
      <c r="B1092" s="519" t="s">
        <v>2627</v>
      </c>
      <c r="C1092" s="433"/>
      <c r="D1092" s="1348" t="s">
        <v>2160</v>
      </c>
      <c r="E1092" s="1348"/>
      <c r="F1092" s="1348"/>
      <c r="I1092" s="524" t="s">
        <v>2158</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2159</v>
      </c>
      <c r="I1098" s="514"/>
    </row>
    <row r="1099" spans="1:9">
      <c r="A1099" s="433"/>
      <c r="B1099" s="519" t="s">
        <v>2627</v>
      </c>
      <c r="C1099" s="433"/>
      <c r="D1099" s="1348" t="s">
        <v>2018</v>
      </c>
      <c r="E1099" s="1348"/>
      <c r="F1099" s="1348"/>
      <c r="I1099" s="524" t="s">
        <v>2117</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2627</v>
      </c>
      <c r="C1103" s="433"/>
      <c r="D1103" s="1270" t="s">
        <v>2161</v>
      </c>
      <c r="E1103" s="1270"/>
      <c r="F1103" s="1270"/>
      <c r="I1103" s="524" t="s">
        <v>2118</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2"/>
      <c r="E1106" s="1012"/>
      <c r="F1106" s="1012"/>
      <c r="I1106" s="524"/>
    </row>
    <row r="1107" spans="1:9" ht="15.75" customHeight="1">
      <c r="A1107" s="433"/>
      <c r="B1107" s="519" t="s">
        <v>2627</v>
      </c>
      <c r="C1107" s="433"/>
      <c r="D1107" s="1264" t="s">
        <v>2163</v>
      </c>
      <c r="E1107" s="1264"/>
      <c r="F1107" s="1264"/>
      <c r="I1107" s="524" t="s">
        <v>2162</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2"/>
      <c r="E1111" s="1012"/>
      <c r="F1111" s="1012"/>
      <c r="I1111" s="524"/>
    </row>
    <row r="1112" spans="1:9" ht="38.25">
      <c r="A1112" s="433"/>
      <c r="B1112" s="433"/>
      <c r="C1112" s="433"/>
      <c r="I1112" s="1262" t="s">
        <v>2376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6" zoomScale="110" zoomScaleNormal="110" workbookViewId="0">
      <selection activeCell="I186" sqref="I18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3">
        <v>4</v>
      </c>
    </row>
    <row r="2" spans="1:51" ht="12.95" customHeight="1"/>
    <row r="3" spans="1:51" ht="12.95" customHeight="1"/>
    <row r="4" spans="1:51" ht="12.95" customHeight="1"/>
    <row r="5" spans="1:51" ht="12.95" customHeight="1"/>
    <row r="6" spans="1:51" ht="12.95" customHeight="1"/>
    <row r="7" spans="1:51" ht="12.95" customHeight="1"/>
    <row r="8" spans="1:51"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933"/>
      <c r="AV8" s="933"/>
      <c r="AW8" s="933"/>
      <c r="AX8" s="933"/>
      <c r="AY8" s="933"/>
    </row>
    <row r="9" spans="1:51" ht="12.95" customHeight="1">
      <c r="A9" s="1304" t="s">
        <v>2382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2573</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38" t="s">
        <v>2625</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row>
    <row r="13" spans="1:51" ht="12.95" customHeight="1">
      <c r="A13" s="1274" t="s">
        <v>2383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2384</v>
      </c>
      <c r="C16" s="4"/>
      <c r="D16" s="4"/>
      <c r="E16" s="4"/>
      <c r="F16" s="4"/>
      <c r="G16" s="4"/>
      <c r="H16" s="1526" t="s">
        <v>2628</v>
      </c>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row>
    <row r="17" spans="1:52" ht="12.95" customHeight="1"/>
    <row r="18" spans="1:52" ht="12.95" customHeight="1">
      <c r="A18" s="57" t="s">
        <v>101</v>
      </c>
      <c r="C18" s="4"/>
      <c r="D18" s="4"/>
      <c r="E18" s="4"/>
      <c r="F18" s="4"/>
      <c r="G18" s="4"/>
      <c r="H18" s="1531" t="s">
        <v>2629</v>
      </c>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row>
    <row r="19" spans="1:52" ht="12.95" customHeight="1"/>
    <row r="20" spans="1:52" ht="12.95" customHeight="1">
      <c r="A20" s="1839" t="s">
        <v>882</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35"/>
      <c r="AV20" s="935"/>
      <c r="AW20" s="935"/>
      <c r="AX20" s="935"/>
      <c r="AY20" s="935"/>
    </row>
    <row r="21" spans="1:52" ht="12.95" customHeight="1">
      <c r="A21" s="1842" t="s">
        <v>1031</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2498</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1">
        <f>'Basis &amp; Credits'!AB56</f>
        <v>3710315</v>
      </c>
      <c r="N26" s="1841"/>
      <c r="O26" s="1841"/>
      <c r="P26" s="1841"/>
      <c r="Q26" s="184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Credits'!AB77</f>
        <v>21000000</v>
      </c>
      <c r="N27" s="1358"/>
      <c r="O27" s="1358"/>
      <c r="P27" s="1358"/>
      <c r="Q27" s="135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721" t="s">
        <v>2499</v>
      </c>
      <c r="B29" s="1721"/>
      <c r="C29" s="1721"/>
      <c r="D29" s="1721"/>
      <c r="E29" s="1721"/>
      <c r="F29" s="1721"/>
      <c r="G29" s="1721"/>
      <c r="H29" s="1721"/>
      <c r="I29" s="1721"/>
      <c r="J29" s="172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c r="AL29" s="1721"/>
      <c r="AM29" s="1721"/>
      <c r="AN29" s="1721"/>
      <c r="AO29" s="1721"/>
      <c r="AP29" s="1721"/>
      <c r="AQ29" s="1721"/>
      <c r="AR29" s="1721"/>
      <c r="AS29" s="1721"/>
      <c r="AT29" s="1721"/>
    </row>
    <row r="30" spans="1:52" ht="12.95" customHeight="1">
      <c r="A30" s="1721"/>
      <c r="B30" s="1721"/>
      <c r="C30" s="1721"/>
      <c r="D30" s="1721"/>
      <c r="E30" s="1721"/>
      <c r="F30" s="1721"/>
      <c r="G30" s="1721"/>
      <c r="H30" s="1721"/>
      <c r="I30" s="1721"/>
      <c r="J30" s="1721"/>
      <c r="K30" s="1721"/>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c r="AI30" s="1721"/>
      <c r="AJ30" s="1721"/>
      <c r="AK30" s="1721"/>
      <c r="AL30" s="1721"/>
      <c r="AM30" s="1721"/>
      <c r="AN30" s="1721"/>
      <c r="AO30" s="1721"/>
      <c r="AP30" s="1721"/>
      <c r="AQ30" s="1721"/>
      <c r="AR30" s="1721"/>
      <c r="AS30" s="1721"/>
      <c r="AT30" s="1721"/>
      <c r="AZ30" s="20"/>
    </row>
    <row r="31" spans="1:52" ht="12.95" customHeight="1">
      <c r="A31" s="1721"/>
      <c r="B31" s="1721"/>
      <c r="C31" s="1721"/>
      <c r="D31" s="1721"/>
      <c r="E31" s="1721"/>
      <c r="F31" s="1721"/>
      <c r="G31" s="1721"/>
      <c r="H31" s="1721"/>
      <c r="I31" s="1721"/>
      <c r="J31" s="1721"/>
      <c r="K31" s="1721"/>
      <c r="L31" s="1721"/>
      <c r="M31" s="1721"/>
      <c r="N31" s="1721"/>
      <c r="O31" s="1721"/>
      <c r="P31" s="1721"/>
      <c r="Q31" s="1721"/>
      <c r="R31" s="1721"/>
      <c r="S31" s="1721"/>
      <c r="T31" s="1721"/>
      <c r="U31" s="1721"/>
      <c r="V31" s="1721"/>
      <c r="W31" s="1721"/>
      <c r="X31" s="1721"/>
      <c r="Y31" s="1721"/>
      <c r="Z31" s="1721"/>
      <c r="AA31" s="1721"/>
      <c r="AB31" s="1721"/>
      <c r="AC31" s="1721"/>
      <c r="AD31" s="1721"/>
      <c r="AE31" s="1721"/>
      <c r="AF31" s="1721"/>
      <c r="AG31" s="1721"/>
      <c r="AH31" s="1721"/>
      <c r="AI31" s="1721"/>
      <c r="AJ31" s="1721"/>
      <c r="AK31" s="1721"/>
      <c r="AL31" s="1721"/>
      <c r="AM31" s="1721"/>
      <c r="AN31" s="1721"/>
      <c r="AO31" s="1721"/>
      <c r="AP31" s="1721"/>
      <c r="AQ31" s="1721"/>
      <c r="AR31" s="1721"/>
      <c r="AS31" s="1721"/>
      <c r="AT31" s="172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66" t="s">
        <v>553</v>
      </c>
      <c r="P33" s="1366"/>
      <c r="Q33" s="1840" t="s">
        <v>2500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row>
    <row r="34" spans="1:52" ht="12.95" customHeight="1">
      <c r="A34" s="1721" t="s">
        <v>2501</v>
      </c>
      <c r="B34" s="1721"/>
      <c r="C34" s="1721"/>
      <c r="D34" s="1721"/>
      <c r="E34" s="1721"/>
      <c r="F34" s="1721"/>
      <c r="G34" s="1721"/>
      <c r="H34" s="172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1"/>
      <c r="AL34" s="1721"/>
      <c r="AM34" s="1721"/>
      <c r="AN34" s="1721"/>
      <c r="AO34" s="1721"/>
      <c r="AP34" s="1721"/>
      <c r="AQ34" s="1721"/>
      <c r="AR34" s="1721"/>
      <c r="AS34" s="1721"/>
      <c r="AT34" s="1721"/>
      <c r="AU34" s="20"/>
      <c r="AV34" s="20"/>
      <c r="AW34" s="20"/>
      <c r="AX34" s="20"/>
      <c r="AY34" s="20"/>
      <c r="AZ34" s="20"/>
    </row>
    <row r="35" spans="1:52" ht="12.95" customHeight="1">
      <c r="A35" s="1721"/>
      <c r="B35" s="1721"/>
      <c r="C35" s="1721"/>
      <c r="D35" s="1721"/>
      <c r="E35" s="1721"/>
      <c r="F35" s="1721"/>
      <c r="G35" s="1721"/>
      <c r="H35" s="1721"/>
      <c r="I35" s="1721"/>
      <c r="J35" s="1721"/>
      <c r="K35" s="1721"/>
      <c r="L35" s="1721"/>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c r="AK35" s="1721"/>
      <c r="AL35" s="1721"/>
      <c r="AM35" s="1721"/>
      <c r="AN35" s="1721"/>
      <c r="AO35" s="1721"/>
      <c r="AP35" s="1721"/>
      <c r="AQ35" s="1721"/>
      <c r="AR35" s="1721"/>
      <c r="AS35" s="1721"/>
      <c r="AT35" s="1721"/>
      <c r="AU35" s="20"/>
      <c r="AV35" s="20"/>
      <c r="AW35" s="20"/>
      <c r="AX35" s="20"/>
      <c r="AY35" s="20"/>
      <c r="AZ35" s="20"/>
    </row>
    <row r="36" spans="1:52" ht="12.95" customHeight="1">
      <c r="A36" s="1721"/>
      <c r="B36" s="1721"/>
      <c r="C36" s="1721"/>
      <c r="D36" s="1721"/>
      <c r="E36" s="1721"/>
      <c r="F36" s="1721"/>
      <c r="G36" s="1721"/>
      <c r="H36" s="1721"/>
      <c r="I36" s="1721"/>
      <c r="J36" s="1721"/>
      <c r="K36" s="1721"/>
      <c r="L36" s="1721"/>
      <c r="M36" s="1721"/>
      <c r="N36" s="1721"/>
      <c r="O36" s="1721"/>
      <c r="P36" s="1721"/>
      <c r="Q36" s="1721"/>
      <c r="R36" s="1721"/>
      <c r="S36" s="1721"/>
      <c r="T36" s="1721"/>
      <c r="U36" s="1721"/>
      <c r="V36" s="1721"/>
      <c r="W36" s="1721"/>
      <c r="X36" s="1721"/>
      <c r="Y36" s="1721"/>
      <c r="Z36" s="1721"/>
      <c r="AA36" s="1721"/>
      <c r="AB36" s="1721"/>
      <c r="AC36" s="1721"/>
      <c r="AD36" s="1721"/>
      <c r="AE36" s="1721"/>
      <c r="AF36" s="1721"/>
      <c r="AG36" s="1721"/>
      <c r="AH36" s="1721"/>
      <c r="AI36" s="1721"/>
      <c r="AJ36" s="1721"/>
      <c r="AK36" s="1721"/>
      <c r="AL36" s="1721"/>
      <c r="AM36" s="1721"/>
      <c r="AN36" s="1721"/>
      <c r="AO36" s="1721"/>
      <c r="AP36" s="1721"/>
      <c r="AQ36" s="1721"/>
      <c r="AR36" s="1721"/>
      <c r="AS36" s="1721"/>
      <c r="AT36" s="1721"/>
      <c r="AU36" s="20"/>
      <c r="AV36" s="20"/>
      <c r="AW36" s="20"/>
      <c r="AX36" s="20"/>
      <c r="AY36" s="20"/>
      <c r="AZ36" s="20"/>
    </row>
    <row r="37" spans="1:52" ht="12.95" customHeight="1">
      <c r="A37" s="1721"/>
      <c r="B37" s="1721"/>
      <c r="C37" s="1721"/>
      <c r="D37" s="1721"/>
      <c r="E37" s="1721"/>
      <c r="F37" s="1721"/>
      <c r="G37" s="1721"/>
      <c r="H37" s="1721"/>
      <c r="I37" s="1721"/>
      <c r="J37" s="1721"/>
      <c r="K37" s="1721"/>
      <c r="L37" s="1721"/>
      <c r="M37" s="1721"/>
      <c r="N37" s="1721"/>
      <c r="O37" s="1721"/>
      <c r="P37" s="1721"/>
      <c r="Q37" s="1721"/>
      <c r="R37" s="1721"/>
      <c r="S37" s="1721"/>
      <c r="T37" s="1721"/>
      <c r="U37" s="1721"/>
      <c r="V37" s="1721"/>
      <c r="W37" s="1721"/>
      <c r="X37" s="1721"/>
      <c r="Y37" s="1721"/>
      <c r="Z37" s="1721"/>
      <c r="AA37" s="1721"/>
      <c r="AB37" s="1721"/>
      <c r="AC37" s="1721"/>
      <c r="AD37" s="1721"/>
      <c r="AE37" s="1721"/>
      <c r="AF37" s="1721"/>
      <c r="AG37" s="1721"/>
      <c r="AH37" s="1721"/>
      <c r="AI37" s="1721"/>
      <c r="AJ37" s="1721"/>
      <c r="AK37" s="1721"/>
      <c r="AL37" s="1721"/>
      <c r="AM37" s="1721"/>
      <c r="AN37" s="1721"/>
      <c r="AO37" s="1721"/>
      <c r="AP37" s="1721"/>
      <c r="AQ37" s="1721"/>
      <c r="AR37" s="1721"/>
      <c r="AS37" s="1721"/>
      <c r="AT37" s="1721"/>
      <c r="AZ37" s="20"/>
    </row>
    <row r="38" spans="1:52" ht="12.95" customHeight="1">
      <c r="A38" s="3"/>
      <c r="AZ38" s="20"/>
    </row>
    <row r="39" spans="1:52" ht="12.95" customHeight="1">
      <c r="A39" s="1264" t="s">
        <v>2502</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2503</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2504</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2505</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2506</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25" t="s">
        <v>2508</v>
      </c>
      <c r="B65" s="1525"/>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21"/>
      <c r="AV65" s="21"/>
      <c r="AW65" s="21"/>
      <c r="AX65" s="21"/>
      <c r="AY65" s="21"/>
      <c r="AZ65" s="20"/>
    </row>
    <row r="66" spans="1:52" ht="12.95" customHeight="1">
      <c r="A66" s="1525"/>
      <c r="B66" s="1525"/>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21"/>
      <c r="AV66" s="21"/>
      <c r="AW66" s="21"/>
      <c r="AX66" s="21"/>
      <c r="AY66" s="21"/>
      <c r="AZ66" s="20"/>
    </row>
    <row r="67" spans="1:52" ht="12.95" customHeight="1">
      <c r="A67" s="1525"/>
      <c r="B67" s="1525"/>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25" t="s">
        <v>2509</v>
      </c>
      <c r="B69" s="1525"/>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Z69" s="20"/>
    </row>
    <row r="70" spans="1:52" ht="12.95" customHeight="1">
      <c r="A70" s="1525"/>
      <c r="B70" s="1525"/>
      <c r="C70" s="1525"/>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721" t="s">
        <v>2510</v>
      </c>
      <c r="B72" s="1721"/>
      <c r="C72" s="1721"/>
      <c r="D72" s="1721"/>
      <c r="E72" s="1721"/>
      <c r="F72" s="1721"/>
      <c r="G72" s="1721"/>
      <c r="H72" s="1721"/>
      <c r="I72" s="1721"/>
      <c r="J72" s="1721"/>
      <c r="K72" s="1721"/>
      <c r="L72" s="1721"/>
      <c r="M72" s="1721"/>
      <c r="N72" s="1721"/>
      <c r="O72" s="1721"/>
      <c r="P72" s="1721"/>
      <c r="Q72" s="1721"/>
      <c r="R72" s="1721"/>
      <c r="S72" s="1721"/>
      <c r="T72" s="1721"/>
      <c r="U72" s="1721"/>
      <c r="V72" s="1721"/>
      <c r="W72" s="1721"/>
      <c r="X72" s="1721"/>
      <c r="Y72" s="1721"/>
      <c r="Z72" s="1721"/>
      <c r="AA72" s="1721"/>
      <c r="AB72" s="1721"/>
      <c r="AC72" s="1721"/>
      <c r="AD72" s="1721"/>
      <c r="AE72" s="1721"/>
      <c r="AF72" s="1721"/>
      <c r="AG72" s="1721"/>
      <c r="AH72" s="1721"/>
      <c r="AI72" s="1721"/>
      <c r="AJ72" s="1721"/>
      <c r="AK72" s="1721"/>
      <c r="AL72" s="1721"/>
      <c r="AM72" s="1721"/>
      <c r="AN72" s="1721"/>
      <c r="AO72" s="1721"/>
      <c r="AP72" s="1721"/>
      <c r="AQ72" s="1721"/>
      <c r="AR72" s="1721"/>
      <c r="AS72" s="1721"/>
      <c r="AT72" s="1721"/>
      <c r="AU72" s="20"/>
      <c r="AV72" s="20"/>
      <c r="AW72" s="20"/>
      <c r="AX72" s="20"/>
      <c r="AY72" s="20"/>
      <c r="AZ72" s="20"/>
    </row>
    <row r="73" spans="1:52" ht="12.95" customHeight="1">
      <c r="A73" s="1721"/>
      <c r="B73" s="1721"/>
      <c r="C73" s="1721"/>
      <c r="D73" s="1721"/>
      <c r="E73" s="1721"/>
      <c r="F73" s="1721"/>
      <c r="G73" s="1721"/>
      <c r="H73" s="1721"/>
      <c r="I73" s="1721"/>
      <c r="J73" s="1721"/>
      <c r="K73" s="1721"/>
      <c r="L73" s="1721"/>
      <c r="M73" s="1721"/>
      <c r="N73" s="1721"/>
      <c r="O73" s="1721"/>
      <c r="P73" s="1721"/>
      <c r="Q73" s="1721"/>
      <c r="R73" s="1721"/>
      <c r="S73" s="1721"/>
      <c r="T73" s="1721"/>
      <c r="U73" s="1721"/>
      <c r="V73" s="1721"/>
      <c r="W73" s="1721"/>
      <c r="X73" s="1721"/>
      <c r="Y73" s="1721"/>
      <c r="Z73" s="1721"/>
      <c r="AA73" s="1721"/>
      <c r="AB73" s="1721"/>
      <c r="AC73" s="1721"/>
      <c r="AD73" s="1721"/>
      <c r="AE73" s="1721"/>
      <c r="AF73" s="1721"/>
      <c r="AG73" s="1721"/>
      <c r="AH73" s="1721"/>
      <c r="AI73" s="1721"/>
      <c r="AJ73" s="1721"/>
      <c r="AK73" s="1721"/>
      <c r="AL73" s="1721"/>
      <c r="AM73" s="1721"/>
      <c r="AN73" s="1721"/>
      <c r="AO73" s="1721"/>
      <c r="AP73" s="1721"/>
      <c r="AQ73" s="1721"/>
      <c r="AR73" s="1721"/>
      <c r="AS73" s="1721"/>
      <c r="AT73" s="172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24" t="s">
        <v>2511</v>
      </c>
      <c r="B75" s="1524"/>
      <c r="C75" s="1524"/>
      <c r="D75" s="1524"/>
      <c r="E75" s="1524"/>
      <c r="F75" s="1524"/>
      <c r="G75" s="1524"/>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524"/>
      <c r="AM75" s="1524"/>
      <c r="AN75" s="1524"/>
      <c r="AO75" s="1524"/>
      <c r="AP75" s="1524"/>
      <c r="AQ75" s="1524"/>
      <c r="AR75" s="1524"/>
      <c r="AS75" s="1524"/>
      <c r="AT75" s="1524"/>
      <c r="AU75" s="20"/>
      <c r="AV75" s="20"/>
      <c r="AW75" s="20"/>
      <c r="AX75" s="20"/>
      <c r="AY75" s="20"/>
      <c r="AZ75" s="20"/>
    </row>
    <row r="76" spans="1:52" ht="12.95" customHeight="1">
      <c r="A76" s="1524"/>
      <c r="B76" s="1524"/>
      <c r="C76" s="1524"/>
      <c r="D76" s="1524"/>
      <c r="E76" s="1524"/>
      <c r="F76" s="1524"/>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524"/>
      <c r="AM76" s="1524"/>
      <c r="AN76" s="1524"/>
      <c r="AO76" s="1524"/>
      <c r="AP76" s="1524"/>
      <c r="AQ76" s="1524"/>
      <c r="AR76" s="1524"/>
      <c r="AS76" s="1524"/>
      <c r="AT76" s="1524"/>
      <c r="AU76" s="20"/>
      <c r="AV76" s="20"/>
      <c r="AW76" s="20"/>
      <c r="AX76" s="20"/>
      <c r="AY76" s="20"/>
      <c r="AZ76" s="17"/>
    </row>
    <row r="77" spans="1:52" ht="12.95" customHeight="1">
      <c r="A77" s="1524"/>
      <c r="B77" s="1524"/>
      <c r="C77" s="1524"/>
      <c r="D77" s="1524"/>
      <c r="E77" s="1524"/>
      <c r="F77" s="1524"/>
      <c r="G77" s="1524"/>
      <c r="H77" s="1524"/>
      <c r="I77" s="1524"/>
      <c r="J77" s="1524"/>
      <c r="K77" s="1524"/>
      <c r="L77" s="1524"/>
      <c r="M77" s="1524"/>
      <c r="N77" s="1524"/>
      <c r="O77" s="1524"/>
      <c r="P77" s="1524"/>
      <c r="Q77" s="1524"/>
      <c r="R77" s="1524"/>
      <c r="S77" s="1524"/>
      <c r="T77" s="1524"/>
      <c r="U77" s="1524"/>
      <c r="V77" s="1524"/>
      <c r="W77" s="1524"/>
      <c r="X77" s="1524"/>
      <c r="Y77" s="1524"/>
      <c r="Z77" s="1524"/>
      <c r="AA77" s="1524"/>
      <c r="AB77" s="1524"/>
      <c r="AC77" s="1524"/>
      <c r="AD77" s="1524"/>
      <c r="AE77" s="1524"/>
      <c r="AF77" s="1524"/>
      <c r="AG77" s="1524"/>
      <c r="AH77" s="1524"/>
      <c r="AI77" s="1524"/>
      <c r="AJ77" s="1524"/>
      <c r="AK77" s="1524"/>
      <c r="AL77" s="1524"/>
      <c r="AM77" s="1524"/>
      <c r="AN77" s="1524"/>
      <c r="AO77" s="1524"/>
      <c r="AP77" s="1524"/>
      <c r="AQ77" s="1524"/>
      <c r="AR77" s="1524"/>
      <c r="AS77" s="1524"/>
      <c r="AT77" s="152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25" t="s">
        <v>2512</v>
      </c>
      <c r="B79" s="1525"/>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20"/>
      <c r="AV79" s="20"/>
      <c r="AW79" s="20"/>
      <c r="AX79" s="20"/>
      <c r="AY79" s="20"/>
      <c r="AZ79" s="20"/>
    </row>
    <row r="80" spans="1:52" ht="12.95" customHeight="1">
      <c r="A80" s="1525"/>
      <c r="B80" s="1525"/>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20"/>
      <c r="AV80" s="20"/>
      <c r="AW80" s="20"/>
      <c r="AX80" s="20"/>
      <c r="AY80" s="20"/>
      <c r="AZ80" s="20"/>
    </row>
    <row r="81" spans="1:52" ht="12.95" customHeight="1">
      <c r="A81" s="1525"/>
      <c r="B81" s="1525"/>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2513</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2514</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33" t="s">
        <v>2515</v>
      </c>
      <c r="B89" s="1533"/>
      <c r="C89" s="1533"/>
      <c r="D89" s="1533"/>
      <c r="E89" s="1533"/>
      <c r="F89" s="1533"/>
      <c r="G89" s="1533"/>
      <c r="H89" s="1533"/>
      <c r="I89" s="1533"/>
      <c r="J89" s="1533"/>
      <c r="K89" s="1533"/>
      <c r="L89" s="1533"/>
      <c r="M89" s="1533"/>
      <c r="N89" s="1533"/>
      <c r="O89" s="1533"/>
      <c r="P89" s="1533"/>
      <c r="Q89" s="1533"/>
      <c r="R89" s="1533"/>
      <c r="S89" s="1533"/>
      <c r="T89" s="1533"/>
      <c r="U89" s="1533"/>
      <c r="V89" s="1533"/>
      <c r="W89" s="1533"/>
      <c r="X89" s="1533"/>
      <c r="Y89" s="1533"/>
      <c r="Z89" s="1533"/>
      <c r="AA89" s="1533"/>
      <c r="AB89" s="1533"/>
      <c r="AC89" s="1533"/>
      <c r="AD89" s="1533"/>
      <c r="AE89" s="1533"/>
      <c r="AF89" s="1533"/>
      <c r="AG89" s="1533"/>
      <c r="AH89" s="1533"/>
      <c r="AI89" s="1533"/>
      <c r="AJ89" s="1533"/>
      <c r="AK89" s="1533"/>
      <c r="AL89" s="1533"/>
      <c r="AM89" s="1533"/>
      <c r="AN89" s="1533"/>
      <c r="AO89" s="1533"/>
      <c r="AP89" s="1533"/>
      <c r="AQ89" s="1533"/>
      <c r="AR89" s="1533"/>
      <c r="AS89" s="1533"/>
      <c r="AT89" s="1533"/>
      <c r="AU89" s="17"/>
      <c r="AV89" s="17"/>
      <c r="AW89" s="17"/>
      <c r="AX89" s="17"/>
      <c r="AY89" s="17"/>
      <c r="AZ89" s="20"/>
    </row>
    <row r="90" spans="1:52" ht="12.95" customHeight="1">
      <c r="A90" s="1533"/>
      <c r="B90" s="1533"/>
      <c r="C90" s="1533"/>
      <c r="D90" s="1533"/>
      <c r="E90" s="1533"/>
      <c r="F90" s="1533"/>
      <c r="G90" s="1533"/>
      <c r="H90" s="1533"/>
      <c r="I90" s="1533"/>
      <c r="J90" s="1533"/>
      <c r="K90" s="1533"/>
      <c r="L90" s="1533"/>
      <c r="M90" s="1533"/>
      <c r="N90" s="1533"/>
      <c r="O90" s="1533"/>
      <c r="P90" s="1533"/>
      <c r="Q90" s="1533"/>
      <c r="R90" s="1533"/>
      <c r="S90" s="1533"/>
      <c r="T90" s="1533"/>
      <c r="U90" s="1533"/>
      <c r="V90" s="1533"/>
      <c r="W90" s="1533"/>
      <c r="X90" s="1533"/>
      <c r="Y90" s="1533"/>
      <c r="Z90" s="1533"/>
      <c r="AA90" s="1533"/>
      <c r="AB90" s="1533"/>
      <c r="AC90" s="1533"/>
      <c r="AD90" s="1533"/>
      <c r="AE90" s="1533"/>
      <c r="AF90" s="1533"/>
      <c r="AG90" s="1533"/>
      <c r="AH90" s="1533"/>
      <c r="AI90" s="1533"/>
      <c r="AJ90" s="1533"/>
      <c r="AK90" s="1533"/>
      <c r="AL90" s="1533"/>
      <c r="AM90" s="1533"/>
      <c r="AN90" s="1533"/>
      <c r="AO90" s="1533"/>
      <c r="AP90" s="1533"/>
      <c r="AQ90" s="1533"/>
      <c r="AR90" s="1533"/>
      <c r="AS90" s="1533"/>
      <c r="AT90" s="153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24" t="s">
        <v>2516</v>
      </c>
      <c r="B92" s="1524"/>
      <c r="C92" s="1524"/>
      <c r="D92" s="1524"/>
      <c r="E92" s="1524"/>
      <c r="F92" s="1524"/>
      <c r="G92" s="1524"/>
      <c r="H92" s="1524"/>
      <c r="I92" s="1524"/>
      <c r="J92" s="1524"/>
      <c r="K92" s="1524"/>
      <c r="L92" s="1524"/>
      <c r="M92" s="1524"/>
      <c r="N92" s="1524"/>
      <c r="O92" s="1524"/>
      <c r="P92" s="1524"/>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c r="AL92" s="1524"/>
      <c r="AM92" s="1524"/>
      <c r="AN92" s="1524"/>
      <c r="AO92" s="1524"/>
      <c r="AP92" s="1524"/>
      <c r="AQ92" s="1524"/>
      <c r="AR92" s="1524"/>
      <c r="AS92" s="1524"/>
      <c r="AT92" s="1524"/>
      <c r="AU92" s="20"/>
      <c r="AV92" s="20"/>
      <c r="AW92" s="20"/>
      <c r="AX92" s="20"/>
      <c r="AY92" s="20"/>
      <c r="AZ92" s="20"/>
    </row>
    <row r="93" spans="1:52" ht="12.95" customHeight="1">
      <c r="A93" s="1524"/>
      <c r="B93" s="1524"/>
      <c r="C93" s="1524"/>
      <c r="D93" s="1524"/>
      <c r="E93" s="1524"/>
      <c r="F93" s="1524"/>
      <c r="G93" s="1524"/>
      <c r="H93" s="1524"/>
      <c r="I93" s="1524"/>
      <c r="J93" s="1524"/>
      <c r="K93" s="1524"/>
      <c r="L93" s="1524"/>
      <c r="M93" s="1524"/>
      <c r="N93" s="1524"/>
      <c r="O93" s="1524"/>
      <c r="P93" s="1524"/>
      <c r="Q93" s="1524"/>
      <c r="R93" s="1524"/>
      <c r="S93" s="1524"/>
      <c r="T93" s="1524"/>
      <c r="U93" s="1524"/>
      <c r="V93" s="1524"/>
      <c r="W93" s="1524"/>
      <c r="X93" s="1524"/>
      <c r="Y93" s="1524"/>
      <c r="Z93" s="1524"/>
      <c r="AA93" s="1524"/>
      <c r="AB93" s="1524"/>
      <c r="AC93" s="1524"/>
      <c r="AD93" s="1524"/>
      <c r="AE93" s="1524"/>
      <c r="AF93" s="1524"/>
      <c r="AG93" s="1524"/>
      <c r="AH93" s="1524"/>
      <c r="AI93" s="1524"/>
      <c r="AJ93" s="1524"/>
      <c r="AK93" s="1524"/>
      <c r="AL93" s="1524"/>
      <c r="AM93" s="1524"/>
      <c r="AN93" s="1524"/>
      <c r="AO93" s="1524"/>
      <c r="AP93" s="1524"/>
      <c r="AQ93" s="1524"/>
      <c r="AR93" s="1524"/>
      <c r="AS93" s="1524"/>
      <c r="AT93" s="1524"/>
      <c r="AU93" s="20"/>
      <c r="AV93" s="20"/>
      <c r="AW93" s="20"/>
      <c r="AX93" s="20"/>
      <c r="AY93" s="20"/>
      <c r="AZ93" s="20"/>
    </row>
    <row r="94" spans="1:52" ht="12.95" customHeight="1">
      <c r="A94" s="1524"/>
      <c r="B94" s="1524"/>
      <c r="C94" s="1524"/>
      <c r="D94" s="1524"/>
      <c r="E94" s="1524"/>
      <c r="F94" s="1524"/>
      <c r="G94" s="1524"/>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524"/>
      <c r="AM94" s="1524"/>
      <c r="AN94" s="1524"/>
      <c r="AO94" s="1524"/>
      <c r="AP94" s="1524"/>
      <c r="AQ94" s="1524"/>
      <c r="AR94" s="1524"/>
      <c r="AS94" s="1524"/>
      <c r="AT94" s="1524"/>
      <c r="AU94" s="20"/>
      <c r="AV94" s="20"/>
      <c r="AW94" s="20"/>
      <c r="AX94" s="20"/>
      <c r="AY94" s="20"/>
      <c r="AZ94" s="20"/>
    </row>
    <row r="95" spans="1:52" ht="12.95" customHeight="1">
      <c r="A95" s="1524"/>
      <c r="B95" s="1524"/>
      <c r="C95" s="1524"/>
      <c r="D95" s="1524"/>
      <c r="E95" s="1524"/>
      <c r="F95" s="1524"/>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524"/>
      <c r="AM95" s="1524"/>
      <c r="AN95" s="1524"/>
      <c r="AO95" s="1524"/>
      <c r="AP95" s="1524"/>
      <c r="AQ95" s="1524"/>
      <c r="AR95" s="1524"/>
      <c r="AS95" s="1524"/>
      <c r="AT95" s="1524"/>
      <c r="AU95" s="20"/>
      <c r="AV95" s="20"/>
      <c r="AW95" s="20"/>
      <c r="AX95" s="20"/>
      <c r="AY95" s="20"/>
      <c r="AZ95" s="20"/>
    </row>
    <row r="96" spans="1:52" ht="12.95" customHeight="1">
      <c r="A96" s="1524"/>
      <c r="B96" s="1524"/>
      <c r="C96" s="1524"/>
      <c r="D96" s="1524"/>
      <c r="E96" s="1524"/>
      <c r="F96" s="1524"/>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524"/>
      <c r="AM96" s="1524"/>
      <c r="AN96" s="1524"/>
      <c r="AO96" s="1524"/>
      <c r="AP96" s="1524"/>
      <c r="AQ96" s="1524"/>
      <c r="AR96" s="1524"/>
      <c r="AS96" s="1524"/>
      <c r="AT96" s="1524"/>
      <c r="AU96" s="20"/>
      <c r="AV96" s="20"/>
      <c r="AW96" s="20"/>
      <c r="AX96" s="20"/>
      <c r="AY96" s="20"/>
      <c r="AZ96" s="20"/>
    </row>
    <row r="97" spans="1:52" ht="12.95" customHeight="1">
      <c r="A97" s="1524"/>
      <c r="B97" s="1524"/>
      <c r="C97" s="1524"/>
      <c r="D97" s="1524"/>
      <c r="E97" s="1524"/>
      <c r="F97" s="152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524"/>
      <c r="AM97" s="1524"/>
      <c r="AN97" s="1524"/>
      <c r="AO97" s="1524"/>
      <c r="AP97" s="1524"/>
      <c r="AQ97" s="1524"/>
      <c r="AR97" s="1524"/>
      <c r="AS97" s="1524"/>
      <c r="AT97" s="1524"/>
      <c r="AU97" s="20"/>
      <c r="AV97" s="20"/>
      <c r="AW97" s="20"/>
      <c r="AX97" s="20"/>
      <c r="AY97" s="20"/>
      <c r="AZ97" s="20"/>
    </row>
    <row r="98" spans="1:52" ht="12.95" customHeight="1">
      <c r="A98" s="1524"/>
      <c r="B98" s="1524"/>
      <c r="C98" s="1524"/>
      <c r="D98" s="1524"/>
      <c r="E98" s="1524"/>
      <c r="F98" s="1524"/>
      <c r="G98" s="1524"/>
      <c r="H98" s="1524"/>
      <c r="I98" s="1524"/>
      <c r="J98" s="1524"/>
      <c r="K98" s="1524"/>
      <c r="L98" s="1524"/>
      <c r="M98" s="1524"/>
      <c r="N98" s="1524"/>
      <c r="O98" s="1524"/>
      <c r="P98" s="1524"/>
      <c r="Q98" s="1524"/>
      <c r="R98" s="1524"/>
      <c r="S98" s="1524"/>
      <c r="T98" s="1524"/>
      <c r="U98" s="1524"/>
      <c r="V98" s="1524"/>
      <c r="W98" s="1524"/>
      <c r="X98" s="1524"/>
      <c r="Y98" s="1524"/>
      <c r="Z98" s="1524"/>
      <c r="AA98" s="1524"/>
      <c r="AB98" s="1524"/>
      <c r="AC98" s="1524"/>
      <c r="AD98" s="1524"/>
      <c r="AE98" s="1524"/>
      <c r="AF98" s="1524"/>
      <c r="AG98" s="1524"/>
      <c r="AH98" s="1524"/>
      <c r="AI98" s="1524"/>
      <c r="AJ98" s="1524"/>
      <c r="AK98" s="1524"/>
      <c r="AL98" s="1524"/>
      <c r="AM98" s="1524"/>
      <c r="AN98" s="1524"/>
      <c r="AO98" s="1524"/>
      <c r="AP98" s="1524"/>
      <c r="AQ98" s="1524"/>
      <c r="AR98" s="1524"/>
      <c r="AS98" s="1524"/>
      <c r="AT98" s="152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2517</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2518</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20">
        <v>12</v>
      </c>
      <c r="H113" s="1420"/>
      <c r="I113" s="3" t="s">
        <v>181</v>
      </c>
      <c r="L113" s="1420" t="s">
        <v>2763</v>
      </c>
      <c r="M113" s="1420"/>
      <c r="N113" s="1420"/>
      <c r="O113" s="1420"/>
      <c r="P113" s="1545" t="s">
        <v>2520</v>
      </c>
      <c r="Q113" s="1545"/>
      <c r="R113" s="1545"/>
      <c r="S113" s="154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8" t="s">
        <v>502</v>
      </c>
      <c r="D115" s="1538"/>
      <c r="E115" s="1538"/>
      <c r="F115" s="1538"/>
      <c r="G115" s="1538"/>
      <c r="H115" s="1538"/>
      <c r="I115" s="1538"/>
      <c r="J115" s="1538"/>
      <c r="K115" s="1538"/>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20"/>
      <c r="Z117" s="1420"/>
      <c r="AA117" s="1420"/>
      <c r="AB117" s="1420"/>
      <c r="AC117" s="1420"/>
      <c r="AD117" s="1420"/>
      <c r="AE117" s="1420"/>
      <c r="AF117" s="1420"/>
      <c r="AG117" s="1420"/>
      <c r="AH117" s="1420"/>
      <c r="AI117" s="1420"/>
      <c r="AJ117" s="1420"/>
      <c r="AK117" s="142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20" t="s">
        <v>2646</v>
      </c>
      <c r="Z120" s="1420"/>
      <c r="AA120" s="1420"/>
      <c r="AB120" s="1420"/>
      <c r="AC120" s="1420"/>
      <c r="AD120" s="1420"/>
      <c r="AE120" s="1420"/>
      <c r="AF120" s="1420"/>
      <c r="AG120" s="1420"/>
      <c r="AH120" s="1420"/>
      <c r="AI120" s="1420"/>
      <c r="AJ120" s="1420"/>
      <c r="AK120" s="142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20" t="s">
        <v>2762</v>
      </c>
      <c r="Z123" s="1420"/>
      <c r="AA123" s="1420"/>
      <c r="AB123" s="1420"/>
      <c r="AC123" s="1420"/>
      <c r="AD123" s="1420"/>
      <c r="AE123" s="1420"/>
      <c r="AF123" s="1420"/>
      <c r="AG123" s="1420"/>
      <c r="AH123" s="1420"/>
      <c r="AI123" s="1420"/>
      <c r="AJ123" s="1420"/>
      <c r="AK123" s="142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83" t="s">
        <v>2635</v>
      </c>
      <c r="P153" s="1483"/>
      <c r="Q153" s="1483"/>
      <c r="R153" s="1483"/>
      <c r="S153" s="1483"/>
      <c r="T153" s="1483"/>
      <c r="U153" s="1483"/>
      <c r="V153" s="1483"/>
      <c r="W153" s="1483"/>
      <c r="X153" s="1483"/>
      <c r="Y153" s="1483"/>
      <c r="Z153" s="1483"/>
      <c r="AA153" s="1483"/>
      <c r="AB153" s="1483"/>
      <c r="AC153" s="1483"/>
      <c r="AD153" s="1483"/>
      <c r="AE153" s="1483"/>
      <c r="AF153" s="1483"/>
      <c r="AG153" s="1483"/>
      <c r="AH153" s="1483"/>
    </row>
    <row r="154" spans="1:72" ht="12.95" customHeight="1">
      <c r="D154" s="325" t="s">
        <v>441</v>
      </c>
      <c r="O154" s="1367" t="s">
        <v>2636</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2.95" customHeight="1">
      <c r="D155" s="8" t="s">
        <v>443</v>
      </c>
      <c r="F155" s="8"/>
      <c r="G155" s="8"/>
      <c r="H155" s="8"/>
      <c r="I155" s="8"/>
      <c r="J155" s="8"/>
      <c r="K155" s="8"/>
      <c r="L155" s="8"/>
      <c r="M155" s="8"/>
      <c r="N155" s="8"/>
      <c r="O155" s="1542" t="s">
        <v>442</v>
      </c>
      <c r="P155" s="1542"/>
      <c r="Q155" s="1542"/>
      <c r="R155" s="1542"/>
      <c r="S155" s="1542"/>
      <c r="T155" s="1542"/>
      <c r="U155" s="1542"/>
      <c r="V155" s="1542"/>
      <c r="W155" s="1542"/>
      <c r="X155" s="1542"/>
      <c r="Y155" s="1542"/>
      <c r="Z155" s="1542"/>
      <c r="AA155" s="1542"/>
      <c r="AB155" s="1542"/>
      <c r="AC155" s="1542"/>
      <c r="AD155" s="1542"/>
      <c r="AE155" s="1542"/>
      <c r="AF155" s="1542"/>
      <c r="AG155" s="1542"/>
      <c r="AH155" s="1542"/>
    </row>
    <row r="156" spans="1:72" ht="12.95" customHeight="1">
      <c r="D156" t="s">
        <v>313</v>
      </c>
      <c r="O156" s="1360" t="s">
        <v>2637</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307</v>
      </c>
    </row>
    <row r="157" spans="1:72" ht="12.95" customHeight="1">
      <c r="D157" t="s">
        <v>314</v>
      </c>
      <c r="O157" s="1483" t="s">
        <v>2638</v>
      </c>
      <c r="P157" s="1483"/>
      <c r="Q157" s="1483"/>
      <c r="R157" s="1483"/>
      <c r="S157" s="1483"/>
      <c r="T157" s="1483"/>
      <c r="U157" s="1483"/>
      <c r="V157" s="1483"/>
      <c r="W157" s="1483"/>
      <c r="X157" s="1483"/>
      <c r="Y157" s="8"/>
      <c r="Z157" s="8"/>
      <c r="AA157" s="8"/>
      <c r="AB157" s="8"/>
      <c r="AC157" s="8"/>
      <c r="AD157" s="8"/>
      <c r="AE157" s="8"/>
      <c r="AF157" s="8"/>
      <c r="BN157" s="23" t="s">
        <v>644</v>
      </c>
      <c r="BT157" t="s">
        <v>484</v>
      </c>
    </row>
    <row r="158" spans="1:72" ht="12.95" customHeight="1">
      <c r="D158" t="s">
        <v>315</v>
      </c>
      <c r="O158" s="1543">
        <v>91766</v>
      </c>
      <c r="P158" s="1543"/>
      <c r="Q158" s="1543"/>
      <c r="R158" s="1543"/>
      <c r="S158" s="9"/>
      <c r="T158" s="9"/>
      <c r="U158" s="9"/>
      <c r="V158" s="9"/>
      <c r="W158" s="9"/>
      <c r="X158" s="9"/>
      <c r="Y158" s="9"/>
      <c r="Z158" s="9"/>
      <c r="AA158" s="9"/>
      <c r="AB158" s="9"/>
      <c r="AC158" s="9"/>
      <c r="AD158" s="9"/>
      <c r="AE158" s="9"/>
      <c r="AF158" s="9"/>
      <c r="BN158" s="23" t="s">
        <v>645</v>
      </c>
      <c r="BT158" t="s">
        <v>485</v>
      </c>
    </row>
    <row r="159" spans="1:72" ht="12.95" customHeight="1">
      <c r="D159" t="s">
        <v>316</v>
      </c>
      <c r="O159" s="1539" t="s">
        <v>2639</v>
      </c>
      <c r="P159" s="1539"/>
      <c r="Q159" s="1539"/>
      <c r="R159" s="1539"/>
      <c r="S159" s="1539"/>
      <c r="T159" s="1539"/>
      <c r="V159" s="97" t="s">
        <v>271</v>
      </c>
      <c r="W159" s="1544"/>
      <c r="X159" s="1544"/>
      <c r="Y159" s="10"/>
      <c r="Z159" s="10"/>
      <c r="AA159" s="10"/>
      <c r="AB159" s="10"/>
      <c r="AC159" s="10"/>
      <c r="AD159" s="10"/>
      <c r="AE159" s="10"/>
      <c r="AF159" s="10"/>
      <c r="BN159" s="23" t="s">
        <v>339</v>
      </c>
      <c r="BT159" t="s">
        <v>486</v>
      </c>
    </row>
    <row r="160" spans="1:72" ht="12.95" customHeight="1">
      <c r="D160" t="s">
        <v>317</v>
      </c>
      <c r="O160" s="1539" t="s">
        <v>2640</v>
      </c>
      <c r="P160" s="1539"/>
      <c r="Q160" s="1539"/>
      <c r="R160" s="1539"/>
      <c r="S160" s="1539"/>
      <c r="T160" s="1539"/>
      <c r="U160" s="10"/>
      <c r="V160" s="10"/>
      <c r="W160" s="10"/>
      <c r="X160" s="10"/>
      <c r="Y160" s="10"/>
      <c r="Z160" s="10"/>
      <c r="AA160" s="10"/>
      <c r="AB160" s="10"/>
      <c r="AC160" s="10"/>
      <c r="AD160" s="10"/>
      <c r="AE160" s="10"/>
      <c r="AF160" s="10"/>
      <c r="BN160" s="23" t="s">
        <v>668</v>
      </c>
      <c r="BT160" t="s">
        <v>487</v>
      </c>
    </row>
    <row r="161" spans="1:72" ht="12.95" customHeight="1">
      <c r="D161" t="s">
        <v>318</v>
      </c>
      <c r="O161" s="1530" t="s">
        <v>2641</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2404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0" t="s">
        <v>2614</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63" t="s">
        <v>547</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AM169" s="1663"/>
      <c r="AN169" s="1663"/>
      <c r="AO169" s="1663"/>
      <c r="AP169" s="1663"/>
      <c r="AQ169" s="1663"/>
      <c r="AR169" s="1663"/>
      <c r="AS169" s="1663"/>
      <c r="AT169" s="1663"/>
      <c r="AU169" s="95"/>
      <c r="AV169" s="95"/>
      <c r="AW169" s="95"/>
      <c r="AX169" s="95"/>
      <c r="AY169" s="95"/>
      <c r="BN169" s="23" t="s">
        <v>681</v>
      </c>
      <c r="BT169" t="s">
        <v>496</v>
      </c>
    </row>
    <row r="170" spans="1:72" ht="12.95" customHeigh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1663"/>
      <c r="AN170" s="1663"/>
      <c r="AO170" s="1663"/>
      <c r="AP170" s="1663"/>
      <c r="AQ170" s="1663"/>
      <c r="AR170" s="1663"/>
      <c r="AS170" s="1663"/>
      <c r="AT170" s="1663"/>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41" t="s">
        <v>371</v>
      </c>
      <c r="K173" s="1541"/>
      <c r="L173" s="1541"/>
      <c r="M173" s="1541"/>
      <c r="N173" s="1541"/>
      <c r="O173" s="1541"/>
      <c r="P173" s="1541"/>
      <c r="Q173" s="1541"/>
      <c r="R173" s="1541"/>
      <c r="S173" s="1541"/>
      <c r="U173" s="25"/>
      <c r="X173" s="25"/>
      <c r="BB173" s="3" t="s">
        <v>307</v>
      </c>
      <c r="BN173" s="23" t="s">
        <v>214</v>
      </c>
      <c r="BT173" t="s">
        <v>500</v>
      </c>
    </row>
    <row r="174" spans="1:72" ht="12.95" customHeight="1">
      <c r="C174" s="24"/>
      <c r="D174" s="3" t="s">
        <v>1306</v>
      </c>
      <c r="J174" s="1360" t="s">
        <v>2410</v>
      </c>
      <c r="K174" s="1360"/>
      <c r="L174" s="1360"/>
      <c r="M174" s="1360"/>
      <c r="N174" s="1360"/>
      <c r="O174" s="1360"/>
      <c r="P174" s="1360"/>
      <c r="Q174" s="1360"/>
      <c r="R174" s="1360"/>
      <c r="S174" s="1360"/>
      <c r="T174" s="1360"/>
      <c r="U174" s="1360"/>
      <c r="V174" s="1360"/>
      <c r="W174" s="1360"/>
      <c r="X174" s="1360"/>
      <c r="Y174" s="1360"/>
      <c r="Z174" s="1360"/>
      <c r="AA174" s="1360"/>
      <c r="AB174" s="1360"/>
      <c r="BB174" t="s">
        <v>2263</v>
      </c>
      <c r="BN174" s="23" t="s">
        <v>216</v>
      </c>
      <c r="BT174" t="s">
        <v>501</v>
      </c>
    </row>
    <row r="175" spans="1:72" ht="12.95" customHeight="1">
      <c r="C175" s="8"/>
      <c r="D175" s="3" t="s">
        <v>322</v>
      </c>
      <c r="O175" s="27"/>
      <c r="U175" s="1366"/>
      <c r="V175" s="1366"/>
      <c r="BB175" t="s">
        <v>2227</v>
      </c>
      <c r="BN175" s="23" t="s">
        <v>217</v>
      </c>
      <c r="BT175" t="s">
        <v>502</v>
      </c>
    </row>
    <row r="176" spans="1:72" ht="12.95" customHeight="1">
      <c r="C176" s="8"/>
      <c r="D176" s="26"/>
      <c r="E176" t="s">
        <v>304</v>
      </c>
      <c r="O176" s="27"/>
      <c r="P176" t="s">
        <v>2385</v>
      </c>
      <c r="T176" s="27" t="s">
        <v>305</v>
      </c>
      <c r="U176" s="1547"/>
      <c r="V176" s="1547"/>
      <c r="W176" s="1" t="s">
        <v>306</v>
      </c>
      <c r="X176" s="1534"/>
      <c r="Y176" s="1534"/>
      <c r="BB176" t="s">
        <v>2264</v>
      </c>
      <c r="BN176" s="23" t="s">
        <v>219</v>
      </c>
      <c r="BT176" t="s">
        <v>503</v>
      </c>
    </row>
    <row r="177" spans="1:72" ht="12.95" customHeight="1">
      <c r="C177" s="24"/>
      <c r="D177" t="s">
        <v>249</v>
      </c>
      <c r="R177" s="1366"/>
      <c r="S177" s="1366"/>
      <c r="BB177" t="s">
        <v>2569</v>
      </c>
      <c r="BN177" s="23" t="s">
        <v>220</v>
      </c>
      <c r="BT177" t="s">
        <v>504</v>
      </c>
    </row>
    <row r="178" spans="1:72" ht="12.95" customHeight="1">
      <c r="C178" s="24"/>
      <c r="D178" s="3" t="s">
        <v>1307</v>
      </c>
      <c r="AA178" t="s">
        <v>2385</v>
      </c>
      <c r="AE178" s="27" t="s">
        <v>305</v>
      </c>
      <c r="AF178" s="1548"/>
      <c r="AG178" s="1548"/>
      <c r="AH178" s="1" t="s">
        <v>306</v>
      </c>
      <c r="AI178" s="1482"/>
      <c r="AJ178" s="1482"/>
      <c r="AK178" s="1482"/>
      <c r="BB178" t="s">
        <v>2570</v>
      </c>
      <c r="BN178" s="23" t="s">
        <v>221</v>
      </c>
      <c r="BT178" t="s">
        <v>53</v>
      </c>
    </row>
    <row r="179" spans="1:72" ht="12.95" customHeight="1">
      <c r="C179" s="24"/>
      <c r="BN179" s="23" t="s">
        <v>222</v>
      </c>
      <c r="BT179" t="s">
        <v>54</v>
      </c>
    </row>
    <row r="180" spans="1:72" ht="12.95" customHeight="1">
      <c r="C180" s="24"/>
      <c r="D180" t="s">
        <v>2386</v>
      </c>
      <c r="X180" s="1366"/>
      <c r="Y180" s="1366"/>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371" t="str">
        <f>H18</f>
        <v>Holt &amp; Main</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595</v>
      </c>
      <c r="BN184" s="23" t="s">
        <v>230</v>
      </c>
      <c r="BT184" t="s">
        <v>62</v>
      </c>
    </row>
    <row r="185" spans="1:72" ht="12.95" customHeight="1">
      <c r="C185" s="21"/>
      <c r="D185" t="s">
        <v>587</v>
      </c>
      <c r="I185" s="1362" t="s">
        <v>2784</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596</v>
      </c>
      <c r="BN185" s="23" t="s">
        <v>231</v>
      </c>
      <c r="BT185" t="s">
        <v>63</v>
      </c>
    </row>
    <row r="186" spans="1:72" ht="12.95" customHeight="1">
      <c r="C186" s="21"/>
      <c r="E186" t="s">
        <v>167</v>
      </c>
      <c r="BN186" s="23" t="s">
        <v>232</v>
      </c>
      <c r="BT186" t="s">
        <v>64</v>
      </c>
    </row>
    <row r="187" spans="1:72"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T187" t="s">
        <v>65</v>
      </c>
    </row>
    <row r="188" spans="1:72"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T188" t="s">
        <v>66</v>
      </c>
    </row>
    <row r="189" spans="1:72" ht="12.95" customHeight="1">
      <c r="C189" s="21"/>
      <c r="D189" t="s">
        <v>588</v>
      </c>
      <c r="I189" s="1360" t="s">
        <v>2638</v>
      </c>
      <c r="J189" s="1360"/>
      <c r="K189" s="1360"/>
      <c r="L189" s="1360"/>
      <c r="M189" s="1360"/>
      <c r="N189" s="1360"/>
      <c r="O189" s="1360"/>
      <c r="P189" s="1360"/>
      <c r="Q189" t="s">
        <v>590</v>
      </c>
      <c r="T189" s="1360" t="s">
        <v>502</v>
      </c>
      <c r="U189" s="1360"/>
      <c r="V189" s="1360"/>
      <c r="W189" s="1360"/>
      <c r="X189" s="1360"/>
      <c r="Y189" s="1360"/>
      <c r="Z189" s="1360"/>
      <c r="AA189" s="1360"/>
      <c r="AB189" s="1360"/>
      <c r="AC189" s="1360"/>
      <c r="AD189" s="1360"/>
      <c r="AE189" s="1360"/>
      <c r="BC189" t="s">
        <v>307</v>
      </c>
      <c r="BH189" s="3" t="s">
        <v>599</v>
      </c>
      <c r="BN189" s="23" t="s">
        <v>236</v>
      </c>
      <c r="BT189" t="s">
        <v>67</v>
      </c>
    </row>
    <row r="190" spans="1:72" ht="12.95" customHeight="1">
      <c r="C190" s="21"/>
      <c r="D190" t="s">
        <v>591</v>
      </c>
      <c r="I190" s="1362">
        <v>91768</v>
      </c>
      <c r="J190" s="1362"/>
      <c r="K190" s="1362"/>
      <c r="L190" s="1362"/>
      <c r="M190" s="1362"/>
      <c r="N190" s="1362"/>
      <c r="O190" t="s">
        <v>593</v>
      </c>
      <c r="T190" s="1536">
        <v>6037402303.0299997</v>
      </c>
      <c r="U190" s="1536"/>
      <c r="V190" s="1536"/>
      <c r="W190" s="1536"/>
      <c r="X190" s="1536"/>
      <c r="Y190" s="1536"/>
      <c r="Z190" s="1536"/>
      <c r="AA190" s="1536"/>
      <c r="AB190" s="1536"/>
      <c r="AC190" s="1536"/>
      <c r="AD190" s="1536"/>
      <c r="AE190" s="1536"/>
      <c r="BC190" t="s">
        <v>1063</v>
      </c>
      <c r="BH190" t="s">
        <v>1063</v>
      </c>
      <c r="BN190" s="23" t="s">
        <v>643</v>
      </c>
      <c r="BT190" t="s">
        <v>68</v>
      </c>
    </row>
    <row r="191" spans="1:72" ht="12.95" customHeight="1">
      <c r="C191" s="21"/>
      <c r="D191" t="s">
        <v>470</v>
      </c>
      <c r="N191" s="1522" t="s">
        <v>2766</v>
      </c>
      <c r="O191" s="1522"/>
      <c r="P191" s="1522"/>
      <c r="Q191" s="1522"/>
      <c r="R191" s="1522"/>
      <c r="S191" s="1522"/>
      <c r="T191" s="1522"/>
      <c r="U191" s="1522"/>
      <c r="V191" s="1522"/>
      <c r="W191" s="1522"/>
      <c r="X191" s="1522"/>
      <c r="Y191" s="1522"/>
      <c r="Z191" s="1522"/>
      <c r="AA191" s="1522"/>
      <c r="AB191" s="1522"/>
      <c r="AC191" s="1522"/>
      <c r="AD191" s="1522"/>
      <c r="AE191" s="1522"/>
      <c r="BC191" t="s">
        <v>1062</v>
      </c>
      <c r="BH191" t="s">
        <v>1062</v>
      </c>
      <c r="BN191" s="23" t="s">
        <v>697</v>
      </c>
      <c r="BT191" t="s">
        <v>736</v>
      </c>
    </row>
    <row r="192" spans="1:72"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1065</v>
      </c>
      <c r="BH192" s="3" t="s">
        <v>1473</v>
      </c>
      <c r="BN192" s="23" t="s">
        <v>698</v>
      </c>
      <c r="BT192" t="s">
        <v>737</v>
      </c>
    </row>
    <row r="193" spans="1:74" ht="12.95" customHeight="1">
      <c r="C193" s="21"/>
      <c r="D193" t="s">
        <v>2387</v>
      </c>
      <c r="M193" s="40"/>
      <c r="N193" s="928"/>
      <c r="O193" s="928"/>
      <c r="P193" s="928"/>
      <c r="Q193" s="928"/>
      <c r="R193" s="928"/>
      <c r="S193" s="928"/>
      <c r="T193" s="1555" t="s">
        <v>2569</v>
      </c>
      <c r="U193" s="1555"/>
      <c r="V193" s="1555"/>
      <c r="W193" s="1555"/>
      <c r="X193" s="1555"/>
      <c r="Y193" s="1555"/>
      <c r="Z193" s="1555"/>
      <c r="AA193" s="1555"/>
      <c r="AB193" s="1555"/>
      <c r="AC193" s="1555"/>
      <c r="AD193" s="1555"/>
      <c r="AE193" s="1555"/>
      <c r="AF193" s="1555"/>
      <c r="AG193" s="1555"/>
      <c r="AH193" s="1555"/>
      <c r="AI193" s="1555"/>
      <c r="BC193" t="s">
        <v>1064</v>
      </c>
      <c r="BH193" s="3" t="s">
        <v>1740</v>
      </c>
      <c r="BN193" s="23" t="s">
        <v>699</v>
      </c>
      <c r="BT193" t="s">
        <v>738</v>
      </c>
    </row>
    <row r="194" spans="1:74" ht="12.95" customHeight="1">
      <c r="C194" s="21"/>
      <c r="D194" s="3" t="s">
        <v>2571</v>
      </c>
      <c r="M194" s="40"/>
      <c r="N194" s="928"/>
      <c r="O194" s="928"/>
      <c r="P194" s="928"/>
      <c r="Q194" s="928"/>
      <c r="R194" s="928"/>
      <c r="S194" s="928"/>
      <c r="AH194" s="1366" t="s">
        <v>677</v>
      </c>
      <c r="AI194" s="1366"/>
      <c r="BC194" t="s">
        <v>1473</v>
      </c>
      <c r="BN194" s="23" t="s">
        <v>700</v>
      </c>
      <c r="BT194" t="s">
        <v>739</v>
      </c>
    </row>
    <row r="195" spans="1:74" ht="12.95" customHeight="1">
      <c r="C195" s="21"/>
      <c r="D195" t="s">
        <v>331</v>
      </c>
      <c r="T195" s="1366" t="s">
        <v>677</v>
      </c>
      <c r="U195" s="1366"/>
      <c r="W195" t="s">
        <v>693</v>
      </c>
      <c r="AH195" s="1366">
        <v>35</v>
      </c>
      <c r="AI195" s="1366"/>
      <c r="BC195" t="s">
        <v>2042</v>
      </c>
      <c r="BN195" s="23" t="s">
        <v>242</v>
      </c>
      <c r="BT195" t="s">
        <v>740</v>
      </c>
    </row>
    <row r="196" spans="1:74" ht="12.95" customHeight="1">
      <c r="C196" s="21"/>
      <c r="D196" t="s">
        <v>386</v>
      </c>
      <c r="T196" s="1392" t="s">
        <v>553</v>
      </c>
      <c r="U196" s="1392"/>
      <c r="W196" t="s">
        <v>694</v>
      </c>
      <c r="AH196" s="1366">
        <v>53</v>
      </c>
      <c r="AI196" s="1366"/>
      <c r="BN196" s="23" t="s">
        <v>243</v>
      </c>
      <c r="BT196" t="s">
        <v>69</v>
      </c>
    </row>
    <row r="197" spans="1:74" ht="12.95" customHeight="1">
      <c r="C197" s="21"/>
      <c r="D197" s="3" t="s">
        <v>168</v>
      </c>
      <c r="T197" s="1392" t="s">
        <v>677</v>
      </c>
      <c r="U197" s="1392"/>
      <c r="W197" t="s">
        <v>695</v>
      </c>
      <c r="AH197" s="1366">
        <v>22</v>
      </c>
      <c r="AI197" s="1366"/>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392"/>
      <c r="U198" s="139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706</v>
      </c>
      <c r="BO198"/>
      <c r="BP198"/>
      <c r="BQ198"/>
      <c r="BR198"/>
      <c r="BS198"/>
      <c r="BT198" t="s">
        <v>191</v>
      </c>
      <c r="BU198"/>
      <c r="BV198" s="31"/>
    </row>
    <row r="199" spans="1:74" s="14" customFormat="1" ht="12.95" customHeight="1">
      <c r="A199"/>
      <c r="B199"/>
      <c r="C199" s="21"/>
      <c r="D199" s="118" t="s">
        <v>2521</v>
      </c>
      <c r="E199"/>
      <c r="F199"/>
      <c r="G199"/>
      <c r="H199"/>
      <c r="I199"/>
      <c r="J199"/>
      <c r="K199"/>
      <c r="L199"/>
      <c r="M199"/>
      <c r="N199"/>
      <c r="O199"/>
      <c r="P199"/>
      <c r="Q199"/>
      <c r="R199"/>
      <c r="S199"/>
      <c r="T199"/>
      <c r="U199"/>
      <c r="V199"/>
      <c r="W199"/>
      <c r="Z199" s="1366" t="s">
        <v>677</v>
      </c>
      <c r="AA199" s="1366"/>
      <c r="AC199"/>
      <c r="AD199"/>
      <c r="AE199"/>
      <c r="AF199"/>
      <c r="AG199"/>
      <c r="AJ199"/>
      <c r="AK199"/>
      <c r="AL199"/>
      <c r="AM199"/>
      <c r="AN199"/>
      <c r="AO199"/>
      <c r="AP199"/>
      <c r="AQ199"/>
      <c r="AR199"/>
      <c r="AS199"/>
      <c r="AT199"/>
      <c r="AU199"/>
      <c r="AV199"/>
      <c r="AW199"/>
      <c r="AX199"/>
      <c r="AY199"/>
      <c r="AZ199" s="30"/>
      <c r="BA199" s="30"/>
      <c r="BC199" s="3" t="s">
        <v>884</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708</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1089</v>
      </c>
      <c r="BD202" s="469"/>
      <c r="BN202" s="23" t="s">
        <v>710</v>
      </c>
      <c r="BO202" s="14"/>
      <c r="BP202" s="32"/>
      <c r="BQ202" s="32"/>
      <c r="BR202" s="32"/>
      <c r="BS202" s="32"/>
      <c r="BT202" s="32" t="s">
        <v>195</v>
      </c>
    </row>
    <row r="203" spans="1:74" ht="12.95" customHeight="1">
      <c r="A203" s="2" t="s">
        <v>594</v>
      </c>
      <c r="C203" s="2" t="s">
        <v>136</v>
      </c>
      <c r="BC203" t="s">
        <v>1090</v>
      </c>
      <c r="BN203" s="23" t="s">
        <v>711</v>
      </c>
      <c r="BO203" s="14"/>
      <c r="BP203" s="32"/>
      <c r="BQ203" s="32"/>
      <c r="BR203" s="32"/>
      <c r="BS203" s="32"/>
      <c r="BT203" s="32" t="s">
        <v>196</v>
      </c>
    </row>
    <row r="204" spans="1:74" ht="12.95" customHeight="1">
      <c r="D204" s="1371" t="s">
        <v>385</v>
      </c>
      <c r="E204" s="1371"/>
      <c r="F204" s="1371"/>
      <c r="G204" s="1371"/>
      <c r="H204" s="1371"/>
      <c r="I204" s="1371"/>
      <c r="J204" s="1371"/>
      <c r="K204" s="1371"/>
      <c r="L204" s="1371"/>
      <c r="M204" s="1371"/>
      <c r="P204" s="1556">
        <f>M26</f>
        <v>3710315</v>
      </c>
      <c r="Q204" s="1552"/>
      <c r="R204" s="1552"/>
      <c r="S204" s="1552"/>
      <c r="T204" s="1552"/>
      <c r="U204" s="1552"/>
      <c r="Z204" s="1550" t="s">
        <v>2618</v>
      </c>
      <c r="AA204" s="1550"/>
      <c r="AB204" s="1550"/>
      <c r="AC204" s="1550"/>
      <c r="AD204" s="1550"/>
      <c r="AE204" s="1550"/>
      <c r="AF204" s="1550"/>
      <c r="BC204" t="s">
        <v>618</v>
      </c>
      <c r="BN204" s="23" t="s">
        <v>712</v>
      </c>
      <c r="BT204" s="32" t="s">
        <v>197</v>
      </c>
      <c r="BU204" s="14"/>
    </row>
    <row r="205" spans="1:74" ht="12.95" customHeight="1">
      <c r="C205" s="21"/>
      <c r="D205" s="1549" t="s">
        <v>1353</v>
      </c>
      <c r="E205" s="1371"/>
      <c r="F205" s="1371"/>
      <c r="G205" s="1371"/>
      <c r="H205" s="1371"/>
      <c r="I205" s="1371"/>
      <c r="J205" s="1371"/>
      <c r="K205" s="1371"/>
      <c r="L205" s="1371"/>
      <c r="M205" s="1371"/>
      <c r="P205" s="1552">
        <f>M27</f>
        <v>21000000</v>
      </c>
      <c r="Q205" s="1552"/>
      <c r="R205" s="1552"/>
      <c r="S205" s="1552"/>
      <c r="T205" s="1552"/>
      <c r="U205" s="1552"/>
      <c r="V205" s="28"/>
      <c r="W205" s="3" t="s">
        <v>1904</v>
      </c>
      <c r="Z205" s="1550"/>
      <c r="AA205" s="1550"/>
      <c r="AB205" s="1550"/>
      <c r="AC205" s="1550"/>
      <c r="AD205" s="1550"/>
      <c r="AE205" s="1550"/>
      <c r="AF205" s="1550"/>
      <c r="AG205" t="s">
        <v>1354</v>
      </c>
      <c r="AP205" s="1366" t="s">
        <v>677</v>
      </c>
      <c r="AQ205" s="1366"/>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551"/>
      <c r="AA206" s="1551"/>
      <c r="AB206" s="1551"/>
      <c r="AC206" s="1551"/>
      <c r="AD206" s="1551"/>
      <c r="AE206" s="1551"/>
      <c r="AF206" s="1551"/>
      <c r="BC206" s="470" t="s">
        <v>1091</v>
      </c>
      <c r="BN206" s="23" t="s">
        <v>110</v>
      </c>
      <c r="BT206" s="32" t="s">
        <v>198</v>
      </c>
      <c r="BU206" s="14"/>
    </row>
    <row r="207" spans="1:74" ht="12.95" customHeight="1">
      <c r="A207" s="2" t="s">
        <v>597</v>
      </c>
      <c r="C207" s="2" t="s">
        <v>559</v>
      </c>
      <c r="BC207" s="3" t="s">
        <v>2561</v>
      </c>
      <c r="BN207" s="23" t="s">
        <v>45</v>
      </c>
      <c r="BT207" s="32" t="s">
        <v>199</v>
      </c>
    </row>
    <row r="208" spans="1:74" ht="12.95" customHeight="1">
      <c r="C208" s="21"/>
      <c r="D208" s="1483" t="s">
        <v>2642</v>
      </c>
      <c r="E208" s="1483"/>
      <c r="F208" s="1483"/>
      <c r="G208" s="1483"/>
      <c r="H208" s="1483"/>
      <c r="I208" s="1483"/>
      <c r="J208" s="1483"/>
      <c r="K208" s="1483"/>
      <c r="L208" s="1483"/>
      <c r="M208" s="1483"/>
      <c r="BC208" t="s">
        <v>1092</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83" t="s">
        <v>1063</v>
      </c>
      <c r="E211" s="1483"/>
      <c r="F211" s="1483"/>
      <c r="G211" s="1483"/>
      <c r="H211" s="1483"/>
      <c r="I211" s="1483"/>
      <c r="J211" s="1483"/>
      <c r="K211" s="1483"/>
      <c r="L211" s="1483"/>
      <c r="M211" s="1483"/>
      <c r="BN211" s="23" t="s">
        <v>129</v>
      </c>
      <c r="BT211" s="32" t="s">
        <v>130</v>
      </c>
    </row>
    <row r="212" spans="1:72" ht="12.95" customHeight="1">
      <c r="C212" s="21"/>
      <c r="D212" t="s">
        <v>1350</v>
      </c>
      <c r="Y212" s="1366"/>
      <c r="Z212" s="1366"/>
      <c r="AB212" s="1553">
        <f>IFERROR(Y212/AG440,"")</f>
        <v>0</v>
      </c>
      <c r="AC212" s="1554"/>
      <c r="BC212" t="s">
        <v>307</v>
      </c>
      <c r="BI212" t="s">
        <v>1288</v>
      </c>
      <c r="BN212" s="23" t="s">
        <v>49</v>
      </c>
      <c r="BT212" s="32" t="s">
        <v>203</v>
      </c>
    </row>
    <row r="213" spans="1:72" ht="12.95" customHeight="1">
      <c r="D213" s="1186" t="s">
        <v>1739</v>
      </c>
      <c r="BC213" t="s">
        <v>534</v>
      </c>
      <c r="BI213" t="s">
        <v>2618</v>
      </c>
      <c r="BN213" s="23" t="s">
        <v>50</v>
      </c>
      <c r="BT213" s="32" t="s">
        <v>204</v>
      </c>
    </row>
    <row r="214" spans="1:72" ht="12.95" customHeight="1">
      <c r="D214" s="1498" t="s">
        <v>599</v>
      </c>
      <c r="E214" s="1498"/>
      <c r="F214" s="1498"/>
      <c r="G214" s="1498"/>
      <c r="H214" s="1498"/>
      <c r="I214" s="1498"/>
      <c r="J214" s="1498"/>
      <c r="K214" s="1498"/>
      <c r="L214" s="1498"/>
      <c r="M214" s="1498"/>
      <c r="N214" s="1498"/>
      <c r="O214" s="1498"/>
      <c r="P214" s="1498"/>
      <c r="Q214" s="1498"/>
      <c r="R214" s="1498"/>
      <c r="S214" s="1498"/>
      <c r="T214" s="1498"/>
      <c r="U214" s="1498"/>
      <c r="V214" s="1498"/>
      <c r="W214" s="1498"/>
      <c r="X214" s="1498"/>
      <c r="Y214" s="1498"/>
      <c r="Z214" s="1498"/>
      <c r="AU214" s="21"/>
      <c r="AV214" s="21"/>
      <c r="AW214" s="21"/>
      <c r="AX214" s="21"/>
      <c r="AY214" s="21"/>
      <c r="BC214" t="s">
        <v>538</v>
      </c>
      <c r="BI214" t="s">
        <v>2624</v>
      </c>
      <c r="BN214" s="23" t="s">
        <v>326</v>
      </c>
      <c r="BT214" s="32" t="s">
        <v>205</v>
      </c>
    </row>
    <row r="215" spans="1:72" ht="12.95" customHeight="1">
      <c r="D215" s="3" t="s">
        <v>1764</v>
      </c>
      <c r="Z215" s="40"/>
      <c r="AB215" s="1478"/>
      <c r="AC215" s="1478"/>
      <c r="AD215" s="1478"/>
      <c r="AE215" s="1478"/>
      <c r="AF215" s="1478"/>
      <c r="AG215" s="1478"/>
      <c r="AH215" s="1478"/>
      <c r="AI215" s="1478"/>
      <c r="AJ215" s="1478"/>
      <c r="AK215" s="1478"/>
      <c r="AL215" s="1478"/>
      <c r="AM215" s="21"/>
      <c r="AN215" s="21"/>
      <c r="AO215" s="21"/>
      <c r="AP215" s="21"/>
      <c r="AQ215" s="21"/>
      <c r="AR215" s="21"/>
      <c r="AS215" s="21"/>
      <c r="AT215" s="21"/>
      <c r="AU215" s="21"/>
      <c r="AV215" s="21"/>
      <c r="AW215" s="21"/>
      <c r="AX215" s="21"/>
      <c r="AY215" s="21"/>
      <c r="BC215" t="s">
        <v>535</v>
      </c>
      <c r="BI215" t="s">
        <v>2619</v>
      </c>
    </row>
    <row r="216" spans="1:72" ht="12.95" customHeight="1">
      <c r="D216" s="3" t="s">
        <v>1762</v>
      </c>
      <c r="Z216" s="40"/>
      <c r="AB216" s="1478"/>
      <c r="AC216" s="1478"/>
      <c r="AD216" s="1478"/>
      <c r="AE216" s="1478"/>
      <c r="AF216" s="1478"/>
      <c r="AG216" s="1478"/>
      <c r="AH216" s="1478"/>
      <c r="AI216" s="1478"/>
      <c r="AJ216" s="1478"/>
      <c r="AK216" s="1478"/>
      <c r="AL216" s="1478"/>
      <c r="AM216" s="21"/>
      <c r="AN216" s="21"/>
      <c r="AO216" s="21"/>
      <c r="AP216" s="21"/>
      <c r="AQ216" s="21"/>
      <c r="AR216" s="21"/>
      <c r="AS216" s="21"/>
      <c r="AT216" s="21"/>
      <c r="AU216" s="21"/>
      <c r="AV216" s="21"/>
      <c r="AW216" s="21"/>
      <c r="AX216" s="21"/>
      <c r="AY216" s="21"/>
      <c r="BC216" t="s">
        <v>574</v>
      </c>
      <c r="BI216" t="s">
        <v>2620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1326</v>
      </c>
      <c r="D218" s="28"/>
      <c r="BC218" t="s">
        <v>537</v>
      </c>
    </row>
    <row r="219" spans="1:72" ht="12.95" customHeight="1">
      <c r="A219" s="2"/>
      <c r="C219" s="2"/>
      <c r="D219" s="4" t="s">
        <v>1006</v>
      </c>
      <c r="AZ219" s="3"/>
      <c r="BA219" s="3"/>
      <c r="BC219" t="s">
        <v>377</v>
      </c>
    </row>
    <row r="220" spans="1:72" ht="12.95" customHeight="1">
      <c r="A220" s="2"/>
      <c r="C220" s="2"/>
      <c r="D220" s="1483" t="s">
        <v>884</v>
      </c>
      <c r="E220" s="1483"/>
      <c r="F220" s="1483"/>
      <c r="G220" s="1483"/>
      <c r="H220" s="1483"/>
      <c r="I220" s="1483"/>
      <c r="J220" s="1483"/>
      <c r="K220" s="1483"/>
      <c r="L220" s="1483"/>
      <c r="M220" s="1483"/>
      <c r="N220" s="1483"/>
      <c r="O220" s="1483"/>
      <c r="P220" s="1483"/>
      <c r="Q220" s="1483"/>
      <c r="R220" s="1483"/>
      <c r="S220" s="1483"/>
      <c r="T220" s="1483"/>
      <c r="U220" s="1483"/>
      <c r="V220" s="1483"/>
      <c r="W220" s="1483"/>
      <c r="X220" s="1483"/>
      <c r="Y220" s="1483"/>
      <c r="Z220" s="1483"/>
      <c r="BA220" s="3"/>
      <c r="BC220" t="s">
        <v>300</v>
      </c>
    </row>
    <row r="221" spans="1:72" ht="12.95" customHeight="1">
      <c r="A221" s="2"/>
      <c r="B221" s="14"/>
      <c r="C221" s="2"/>
      <c r="AU221" s="95"/>
      <c r="AV221" s="95"/>
      <c r="AW221" s="95"/>
      <c r="AX221" s="95"/>
      <c r="AY221" s="95"/>
      <c r="BA221" s="3"/>
    </row>
    <row r="222" spans="1:72" ht="12.95" customHeight="1">
      <c r="A222" s="1663" t="s">
        <v>548</v>
      </c>
      <c r="B222" s="1663"/>
      <c r="C222" s="1663"/>
      <c r="D222" s="1663"/>
      <c r="E222" s="1663"/>
      <c r="F222" s="1663"/>
      <c r="G222" s="1663"/>
      <c r="H222" s="1663"/>
      <c r="I222" s="1663"/>
      <c r="J222" s="1663"/>
      <c r="K222" s="1663"/>
      <c r="L222" s="1663"/>
      <c r="M222" s="1663"/>
      <c r="N222" s="1663"/>
      <c r="O222" s="1663"/>
      <c r="P222" s="1663"/>
      <c r="Q222" s="1663"/>
      <c r="R222" s="1663"/>
      <c r="S222" s="1663"/>
      <c r="T222" s="1663"/>
      <c r="U222" s="1663"/>
      <c r="V222" s="1663"/>
      <c r="W222" s="1663"/>
      <c r="X222" s="1663"/>
      <c r="Y222" s="1663"/>
      <c r="Z222" s="1663"/>
      <c r="AA222" s="1663"/>
      <c r="AB222" s="1663"/>
      <c r="AC222" s="1663"/>
      <c r="AD222" s="1663"/>
      <c r="AE222" s="1663"/>
      <c r="AF222" s="1663"/>
      <c r="AG222" s="1663"/>
      <c r="AH222" s="1663"/>
      <c r="AI222" s="1663"/>
      <c r="AJ222" s="1663"/>
      <c r="AK222" s="1663"/>
      <c r="AL222" s="1663"/>
      <c r="AM222" s="1663"/>
      <c r="AN222" s="1663"/>
      <c r="AO222" s="1663"/>
      <c r="AP222" s="1663"/>
      <c r="AQ222" s="1663"/>
      <c r="AR222" s="1663"/>
      <c r="AS222" s="1663"/>
      <c r="AT222" s="1663"/>
      <c r="AU222" s="95"/>
      <c r="AV222" s="95"/>
      <c r="AW222" s="95"/>
      <c r="AX222" s="95"/>
      <c r="AY222" s="95"/>
      <c r="AZ222" s="3"/>
      <c r="BA222" s="3"/>
      <c r="BP222" s="34"/>
    </row>
    <row r="223" spans="1:72" ht="12.95" customHeight="1">
      <c r="A223" s="1663"/>
      <c r="B223" s="1663"/>
      <c r="C223" s="1663"/>
      <c r="D223" s="1663"/>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1663"/>
      <c r="AK223" s="1663"/>
      <c r="AL223" s="1663"/>
      <c r="AM223" s="1663"/>
      <c r="AN223" s="1663"/>
      <c r="AO223" s="1663"/>
      <c r="AP223" s="1663"/>
      <c r="AQ223" s="1663"/>
      <c r="AR223" s="1663"/>
      <c r="AS223" s="1663"/>
      <c r="AT223" s="1663"/>
      <c r="BA223" s="3"/>
      <c r="BB223" s="3"/>
      <c r="BQ223" s="34"/>
    </row>
    <row r="224" spans="1:72" ht="12.95" customHeight="1">
      <c r="AZ224" s="4"/>
      <c r="BA224" s="3"/>
      <c r="BB224" s="3"/>
      <c r="BQ224" s="34"/>
    </row>
    <row r="225" spans="1:69" ht="12.95" customHeight="1">
      <c r="A225" s="2" t="s">
        <v>319</v>
      </c>
      <c r="B225" s="2"/>
      <c r="C225" s="2" t="s">
        <v>2388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6" t="s">
        <v>599</v>
      </c>
      <c r="AJ226" s="136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6" t="s">
        <v>553</v>
      </c>
      <c r="AJ227" s="136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6" t="s">
        <v>599</v>
      </c>
      <c r="AJ228" s="136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6" t="s">
        <v>599</v>
      </c>
      <c r="AJ229" s="1366"/>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2389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37" t="str">
        <f>H16</f>
        <v>Holt &amp; Main, L.P.</v>
      </c>
      <c r="N232" s="1537"/>
      <c r="O232" s="1537"/>
      <c r="P232" s="1537"/>
      <c r="Q232" s="1537"/>
      <c r="R232" s="1537"/>
      <c r="S232" s="1537"/>
      <c r="T232" s="1537"/>
      <c r="U232" s="1537"/>
      <c r="V232" s="1537"/>
      <c r="W232" s="1537"/>
      <c r="X232" s="1537"/>
      <c r="Y232" s="1537"/>
      <c r="Z232" s="1537"/>
      <c r="AA232" s="1537"/>
      <c r="AB232" s="1537"/>
      <c r="AC232" s="1537"/>
      <c r="AD232" s="1537"/>
      <c r="AE232" s="1537"/>
      <c r="AF232" s="1537"/>
      <c r="AG232" s="1537"/>
      <c r="AH232" s="1537"/>
      <c r="AI232" s="1537"/>
      <c r="AJ232" s="1537"/>
      <c r="AK232" s="1537"/>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83" t="s">
        <v>2643</v>
      </c>
      <c r="N233" s="1483"/>
      <c r="O233" s="1483"/>
      <c r="P233" s="1483"/>
      <c r="Q233" s="1483"/>
      <c r="R233" s="1483"/>
      <c r="S233" s="1483"/>
      <c r="T233" s="1483"/>
      <c r="U233" s="1483"/>
      <c r="V233" s="1483"/>
      <c r="W233" s="1483"/>
      <c r="X233" s="1483"/>
      <c r="Y233" s="1483"/>
      <c r="Z233" s="1483"/>
      <c r="AA233" s="1483"/>
      <c r="AB233" s="1483"/>
      <c r="AC233" s="1483"/>
      <c r="AD233" s="1483"/>
      <c r="AE233" s="1483"/>
      <c r="BB233" s="219" t="s">
        <v>546</v>
      </c>
      <c r="BG233" s="259">
        <f>IF(AND(AND($M$249="nonprofit",$M$257="for profit",$M$265="nonprofit")),2,0)</f>
        <v>0</v>
      </c>
    </row>
    <row r="234" spans="1:69" ht="12.95" customHeight="1">
      <c r="D234" s="4" t="s">
        <v>588</v>
      </c>
      <c r="E234" s="4"/>
      <c r="M234" s="1483" t="s">
        <v>502</v>
      </c>
      <c r="N234" s="1483"/>
      <c r="O234" s="1483"/>
      <c r="P234" s="1483"/>
      <c r="Q234" s="1483"/>
      <c r="R234" s="1483"/>
      <c r="S234" s="1483"/>
      <c r="T234" s="1483"/>
      <c r="V234" s="33" t="s">
        <v>86</v>
      </c>
      <c r="W234" s="1503" t="s">
        <v>2645</v>
      </c>
      <c r="X234" s="1367"/>
      <c r="Y234" s="4" t="s">
        <v>591</v>
      </c>
      <c r="AC234" s="1483">
        <v>90064</v>
      </c>
      <c r="AD234" s="1483"/>
      <c r="AE234" s="148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31" t="s">
        <v>2646</v>
      </c>
      <c r="N235" s="1483"/>
      <c r="O235" s="1483"/>
      <c r="P235" s="1483"/>
      <c r="Q235" s="1483"/>
      <c r="R235" s="1483"/>
      <c r="S235" s="1483"/>
      <c r="T235" s="1483"/>
      <c r="U235" s="1483"/>
      <c r="V235" s="1483"/>
      <c r="W235" s="1483"/>
      <c r="X235" s="1483"/>
      <c r="Y235" s="1483"/>
      <c r="Z235" s="1483"/>
      <c r="AA235" s="1483"/>
      <c r="AB235" s="1483"/>
      <c r="AC235" s="1483"/>
      <c r="AD235" s="1483"/>
      <c r="AE235" s="1483"/>
      <c r="AI235" s="4"/>
      <c r="AJ235" s="4"/>
      <c r="AK235" s="4"/>
      <c r="AL235" s="4"/>
      <c r="AM235" s="4"/>
      <c r="AN235" s="4"/>
      <c r="AO235" s="4"/>
      <c r="AP235" s="4"/>
      <c r="AQ235" s="4"/>
      <c r="AR235" s="4"/>
      <c r="AS235" s="4"/>
      <c r="AT235" s="4"/>
      <c r="BB235" s="219"/>
      <c r="BG235" s="218"/>
    </row>
    <row r="236" spans="1:69" ht="12.95" customHeight="1">
      <c r="D236" s="4" t="s">
        <v>88</v>
      </c>
      <c r="E236" s="4"/>
      <c r="F236" s="4"/>
      <c r="M236" s="1378" t="s">
        <v>2647</v>
      </c>
      <c r="N236" s="1378"/>
      <c r="O236" s="1378"/>
      <c r="P236" s="1378"/>
      <c r="Q236" s="1378"/>
      <c r="R236" s="1378"/>
      <c r="S236" s="4" t="s">
        <v>206</v>
      </c>
      <c r="T236" s="4"/>
      <c r="U236" s="1367"/>
      <c r="V236" s="1367"/>
      <c r="W236" s="1367"/>
      <c r="X236" s="4" t="s">
        <v>89</v>
      </c>
      <c r="Z236" s="1378"/>
      <c r="AA236" s="1378"/>
      <c r="AB236" s="1378"/>
      <c r="AC236" s="1378"/>
      <c r="AD236" s="1378"/>
      <c r="AE236" s="1378"/>
      <c r="AU236" s="4"/>
      <c r="AV236" s="4"/>
      <c r="AW236" s="4"/>
      <c r="AX236" s="4"/>
      <c r="AY236" s="4"/>
      <c r="AZ236" s="4"/>
      <c r="BB236" s="218" t="s">
        <v>545</v>
      </c>
      <c r="BG236" s="259">
        <f>IF(AND(AND($M$249="nonprofit",$M$257="nonprofit",$M$265="(select one)")),1,0)</f>
        <v>0</v>
      </c>
    </row>
    <row r="237" spans="1:69" ht="12.95" customHeight="1">
      <c r="D237" s="4" t="s">
        <v>90</v>
      </c>
      <c r="E237" s="4"/>
      <c r="F237" s="4"/>
      <c r="M237" s="1530" t="s">
        <v>2648</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62" t="s">
        <v>536</v>
      </c>
      <c r="N238" s="1362"/>
      <c r="O238" s="1362"/>
      <c r="P238" s="1362"/>
      <c r="Q238" s="1362"/>
      <c r="R238" s="1362"/>
      <c r="S238" s="1362"/>
      <c r="T238" s="1362"/>
      <c r="U238" s="218" t="s">
        <v>919</v>
      </c>
      <c r="V238" s="218"/>
      <c r="W238" s="218"/>
      <c r="X238" s="218"/>
      <c r="Y238" s="218"/>
      <c r="Z238" s="218"/>
      <c r="AA238" s="1528" t="s">
        <v>2649</v>
      </c>
      <c r="AB238" s="1529"/>
      <c r="AC238" s="1529"/>
      <c r="AD238" s="1529"/>
      <c r="AE238" s="1529"/>
      <c r="AF238" s="1529"/>
      <c r="AG238" s="1529"/>
      <c r="AH238" s="1529"/>
      <c r="AI238" s="1529"/>
      <c r="AJ238" s="1529"/>
      <c r="AK238" s="152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597</v>
      </c>
      <c r="C241" s="2" t="s">
        <v>1287</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26" t="s">
        <v>2644</v>
      </c>
      <c r="N243" s="1527"/>
      <c r="O243" s="1527"/>
      <c r="P243" s="1527"/>
      <c r="Q243" s="1527"/>
      <c r="R243" s="1527"/>
      <c r="S243" s="1527"/>
      <c r="T243" s="1527"/>
      <c r="U243" s="1527"/>
      <c r="V243" s="1527"/>
      <c r="W243" s="1527"/>
      <c r="X243" s="1527"/>
      <c r="Y243" s="1527"/>
      <c r="Z243" s="1527"/>
      <c r="AA243" s="1527"/>
      <c r="AB243" s="1527"/>
      <c r="AC243" s="1527"/>
      <c r="AD243" s="1527"/>
      <c r="AE243" s="1527"/>
      <c r="AF243" s="1527" t="s">
        <v>307</v>
      </c>
      <c r="AG243" s="1527"/>
      <c r="AH243" s="1527"/>
      <c r="AI243" s="1527"/>
      <c r="AJ243" s="1527"/>
      <c r="AK243" s="152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83" t="s">
        <v>2643</v>
      </c>
      <c r="N244" s="1483"/>
      <c r="O244" s="1483"/>
      <c r="P244" s="1483"/>
      <c r="Q244" s="1483"/>
      <c r="R244" s="1483"/>
      <c r="S244" s="1483"/>
      <c r="T244" s="1483"/>
      <c r="U244" s="1483"/>
      <c r="V244" s="1483"/>
      <c r="W244" s="1483"/>
      <c r="X244" s="1483"/>
      <c r="Y244" s="1483"/>
      <c r="Z244" s="1483"/>
      <c r="AA244" s="1483"/>
      <c r="AB244" s="1483"/>
      <c r="AC244" s="1483"/>
      <c r="AD244" s="1483"/>
      <c r="AE244" s="1483"/>
      <c r="AF244" s="3" t="s">
        <v>1283</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31" t="s">
        <v>502</v>
      </c>
      <c r="N245" s="1483"/>
      <c r="O245" s="1483"/>
      <c r="P245" s="1483"/>
      <c r="Q245" s="1483"/>
      <c r="R245" s="1483"/>
      <c r="S245" s="1483"/>
      <c r="T245" s="1483"/>
      <c r="V245" s="33" t="s">
        <v>86</v>
      </c>
      <c r="W245" s="1503" t="s">
        <v>2645</v>
      </c>
      <c r="X245" s="1367"/>
      <c r="Y245" s="4" t="s">
        <v>591</v>
      </c>
      <c r="AC245" s="1483">
        <v>90064</v>
      </c>
      <c r="AD245" s="1483"/>
      <c r="AE245" s="1483"/>
      <c r="AF245" s="3" t="s">
        <v>1284</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31" t="s">
        <v>2646</v>
      </c>
      <c r="N246" s="1483"/>
      <c r="O246" s="1483"/>
      <c r="P246" s="1483"/>
      <c r="Q246" s="1483"/>
      <c r="R246" s="1483"/>
      <c r="S246" s="1483"/>
      <c r="T246" s="1483"/>
      <c r="U246" s="1483"/>
      <c r="V246" s="1483"/>
      <c r="W246" s="1483"/>
      <c r="X246" s="1483"/>
      <c r="Y246" s="1483"/>
      <c r="Z246" s="1483"/>
      <c r="AA246" s="1483"/>
      <c r="AB246" s="1483"/>
      <c r="AC246" s="1483"/>
      <c r="AD246" s="1483"/>
      <c r="AE246" s="1483"/>
      <c r="AH246" s="1491">
        <v>5.1000000000000004E-3</v>
      </c>
      <c r="AI246" s="1491"/>
      <c r="AJ246" s="1491"/>
      <c r="AK246" s="1491"/>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61" t="s">
        <v>2647</v>
      </c>
      <c r="N247" s="1378"/>
      <c r="O247" s="1378"/>
      <c r="P247" s="1378"/>
      <c r="Q247" s="1378"/>
      <c r="R247" s="1378"/>
      <c r="S247" s="4" t="s">
        <v>206</v>
      </c>
      <c r="T247" s="4"/>
      <c r="U247" s="1367"/>
      <c r="V247" s="1367"/>
      <c r="W247" s="1367"/>
      <c r="X247" s="4" t="s">
        <v>89</v>
      </c>
      <c r="Z247" s="1378"/>
      <c r="AA247" s="1378"/>
      <c r="AB247" s="1378"/>
      <c r="AC247" s="1378"/>
      <c r="AD247" s="1378"/>
      <c r="AE247" s="1378"/>
      <c r="AU247" s="4"/>
      <c r="AV247" s="4"/>
      <c r="AW247" s="4"/>
      <c r="AX247" s="4"/>
      <c r="AY247" s="4"/>
      <c r="BG247">
        <v>0</v>
      </c>
      <c r="BH247" s="3"/>
      <c r="BN247" s="34"/>
    </row>
    <row r="248" spans="1:71" ht="12.95" customHeight="1">
      <c r="A248" s="19"/>
      <c r="B248" s="4"/>
      <c r="C248" s="4"/>
      <c r="D248" s="4" t="s">
        <v>90</v>
      </c>
      <c r="E248" s="4"/>
      <c r="F248" s="4"/>
      <c r="M248" s="1530" t="s">
        <v>2648</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62" t="s">
        <v>544</v>
      </c>
      <c r="N249" s="1362"/>
      <c r="O249" s="1362"/>
      <c r="P249" s="1362"/>
      <c r="Q249" s="1362"/>
      <c r="R249" s="1362"/>
      <c r="S249" s="1362"/>
      <c r="T249" s="1362"/>
      <c r="U249" s="218" t="s">
        <v>919</v>
      </c>
      <c r="V249" s="218"/>
      <c r="W249" s="218"/>
      <c r="X249" s="218"/>
      <c r="Y249" s="218"/>
      <c r="Z249" s="218"/>
      <c r="AA249" s="1528" t="s">
        <v>2649</v>
      </c>
      <c r="AB249" s="1529"/>
      <c r="AC249" s="1529"/>
      <c r="AD249" s="1529"/>
      <c r="AE249" s="1529"/>
      <c r="AF249" s="1529"/>
      <c r="AG249" s="1529"/>
      <c r="AH249" s="1529"/>
      <c r="AI249" s="1529"/>
      <c r="AJ249" s="1529"/>
      <c r="AK249" s="152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26" t="s">
        <v>2656</v>
      </c>
      <c r="N251" s="1527"/>
      <c r="O251" s="1527"/>
      <c r="P251" s="1527"/>
      <c r="Q251" s="1527"/>
      <c r="R251" s="1527"/>
      <c r="S251" s="1527"/>
      <c r="T251" s="1527"/>
      <c r="U251" s="1527"/>
      <c r="V251" s="1527"/>
      <c r="W251" s="1527"/>
      <c r="X251" s="1527"/>
      <c r="Y251" s="1527"/>
      <c r="Z251" s="1527"/>
      <c r="AA251" s="1527"/>
      <c r="AB251" s="1527"/>
      <c r="AC251" s="1527"/>
      <c r="AD251" s="1527"/>
      <c r="AE251" s="1527"/>
      <c r="AF251" s="1527" t="s">
        <v>307</v>
      </c>
      <c r="AG251" s="1527"/>
      <c r="AH251" s="1527"/>
      <c r="AI251" s="1527"/>
      <c r="AJ251" s="1527"/>
      <c r="AK251" s="1527"/>
      <c r="AU251" s="4"/>
      <c r="AV251" s="4"/>
      <c r="AW251" s="4"/>
      <c r="AX251" s="4"/>
      <c r="AY251" s="4"/>
      <c r="BN251" s="34"/>
    </row>
    <row r="252" spans="1:71" ht="12.95" customHeight="1">
      <c r="A252" s="19"/>
      <c r="B252" s="4"/>
      <c r="C252" s="4"/>
      <c r="D252" s="4" t="s">
        <v>85</v>
      </c>
      <c r="E252" s="4"/>
      <c r="F252" s="4"/>
      <c r="G252" s="4"/>
      <c r="H252" s="4"/>
      <c r="I252" s="4"/>
      <c r="J252" s="4"/>
      <c r="K252" s="4"/>
      <c r="L252" s="4"/>
      <c r="M252" s="1483" t="s">
        <v>2650</v>
      </c>
      <c r="N252" s="1483"/>
      <c r="O252" s="1483"/>
      <c r="P252" s="1483"/>
      <c r="Q252" s="1483"/>
      <c r="R252" s="1483"/>
      <c r="S252" s="1483"/>
      <c r="T252" s="1483"/>
      <c r="U252" s="1483"/>
      <c r="V252" s="1483"/>
      <c r="W252" s="1483"/>
      <c r="X252" s="1483"/>
      <c r="Y252" s="1483"/>
      <c r="Z252" s="1483"/>
      <c r="AA252" s="1483"/>
      <c r="AB252" s="1483"/>
      <c r="AC252" s="1483"/>
      <c r="AD252" s="1483"/>
      <c r="AE252" s="1483"/>
      <c r="AF252" s="3" t="s">
        <v>1283</v>
      </c>
      <c r="AL252" s="4"/>
      <c r="AM252" s="4"/>
      <c r="AN252" s="4"/>
      <c r="AO252" s="4"/>
      <c r="AP252" s="4"/>
      <c r="AQ252" s="4"/>
      <c r="AR252" s="4"/>
      <c r="AS252" s="4"/>
      <c r="AT252" s="4"/>
      <c r="BN252" s="34"/>
    </row>
    <row r="253" spans="1:71" ht="12.95" customHeight="1">
      <c r="A253" s="19"/>
      <c r="B253" s="4"/>
      <c r="C253" s="4"/>
      <c r="D253" s="4" t="s">
        <v>588</v>
      </c>
      <c r="E253" s="4"/>
      <c r="M253" s="1483" t="s">
        <v>2651</v>
      </c>
      <c r="N253" s="1483"/>
      <c r="O253" s="1483"/>
      <c r="P253" s="1483"/>
      <c r="Q253" s="1483"/>
      <c r="R253" s="1483"/>
      <c r="S253" s="1483"/>
      <c r="T253" s="1483"/>
      <c r="V253" s="33" t="s">
        <v>86</v>
      </c>
      <c r="W253" s="1503" t="s">
        <v>2645</v>
      </c>
      <c r="X253" s="1367"/>
      <c r="Y253" s="4" t="s">
        <v>591</v>
      </c>
      <c r="AC253" s="1483">
        <v>92626</v>
      </c>
      <c r="AD253" s="1483"/>
      <c r="AE253" s="1483"/>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83" t="s">
        <v>2652</v>
      </c>
      <c r="N254" s="1483"/>
      <c r="O254" s="1483"/>
      <c r="P254" s="1483"/>
      <c r="Q254" s="1483"/>
      <c r="R254" s="1483"/>
      <c r="S254" s="1483"/>
      <c r="T254" s="1483"/>
      <c r="U254" s="1483"/>
      <c r="V254" s="1483"/>
      <c r="W254" s="1483"/>
      <c r="X254" s="1483"/>
      <c r="Y254" s="1483"/>
      <c r="Z254" s="1483"/>
      <c r="AA254" s="1483"/>
      <c r="AB254" s="1483"/>
      <c r="AC254" s="1483"/>
      <c r="AD254" s="1483"/>
      <c r="AE254" s="1483"/>
      <c r="AH254" s="1491">
        <v>4.8999999999999998E-3</v>
      </c>
      <c r="AI254" s="1491"/>
      <c r="AJ254" s="1491"/>
      <c r="AK254" s="1491"/>
      <c r="AL254" s="4"/>
      <c r="AM254" s="4"/>
      <c r="AN254" s="4"/>
      <c r="AO254" s="4"/>
      <c r="AP254" s="4"/>
      <c r="AQ254" s="4"/>
      <c r="AR254" s="4"/>
      <c r="AS254" s="4"/>
      <c r="AT254" s="4"/>
    </row>
    <row r="255" spans="1:71" ht="12.95" customHeight="1">
      <c r="A255" s="19"/>
      <c r="B255" s="4"/>
      <c r="C255" s="4"/>
      <c r="D255" s="4" t="s">
        <v>88</v>
      </c>
      <c r="E255" s="4"/>
      <c r="F255" s="4"/>
      <c r="M255" s="1378" t="s">
        <v>2653</v>
      </c>
      <c r="N255" s="1378"/>
      <c r="O255" s="1378"/>
      <c r="P255" s="1378"/>
      <c r="Q255" s="1378"/>
      <c r="R255" s="1378"/>
      <c r="S255" s="4" t="s">
        <v>206</v>
      </c>
      <c r="T255" s="4"/>
      <c r="U255" s="1367"/>
      <c r="V255" s="1367"/>
      <c r="W255" s="1367"/>
      <c r="X255" s="4" t="s">
        <v>89</v>
      </c>
      <c r="Z255" s="1378"/>
      <c r="AA255" s="1378"/>
      <c r="AB255" s="1378"/>
      <c r="AC255" s="1378"/>
      <c r="AD255" s="1378"/>
      <c r="AE255" s="1378"/>
      <c r="AU255" s="4"/>
      <c r="AV255" s="4"/>
      <c r="AW255" s="4"/>
      <c r="AX255" s="4"/>
      <c r="AY255" s="4"/>
      <c r="BN255" s="34"/>
    </row>
    <row r="256" spans="1:71" ht="12.95" customHeight="1">
      <c r="A256" s="19"/>
      <c r="B256" s="4"/>
      <c r="C256" s="4"/>
      <c r="D256" s="4" t="s">
        <v>90</v>
      </c>
      <c r="E256" s="4"/>
      <c r="F256" s="4"/>
      <c r="M256" s="1530" t="s">
        <v>2654</v>
      </c>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62" t="s">
        <v>542</v>
      </c>
      <c r="N257" s="1362"/>
      <c r="O257" s="1362"/>
      <c r="P257" s="1362"/>
      <c r="Q257" s="1362"/>
      <c r="R257" s="1362"/>
      <c r="S257" s="1362"/>
      <c r="T257" s="1362"/>
      <c r="U257" s="218" t="s">
        <v>919</v>
      </c>
      <c r="V257" s="218"/>
      <c r="W257" s="218"/>
      <c r="X257" s="218"/>
      <c r="Y257" s="218"/>
      <c r="Z257" s="218"/>
      <c r="AA257" s="1528" t="s">
        <v>2655</v>
      </c>
      <c r="AB257" s="1529"/>
      <c r="AC257" s="1529"/>
      <c r="AD257" s="1529"/>
      <c r="AE257" s="1529"/>
      <c r="AF257" s="1529"/>
      <c r="AG257" s="1529"/>
      <c r="AH257" s="1529"/>
      <c r="AI257" s="1529"/>
      <c r="AJ257" s="1529"/>
      <c r="AK257" s="152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540</v>
      </c>
      <c r="E259" s="4"/>
      <c r="F259" s="4"/>
      <c r="G259" s="4"/>
      <c r="H259" s="4"/>
      <c r="I259" s="4"/>
      <c r="J259" s="4"/>
      <c r="K259" s="4"/>
      <c r="L259" s="4"/>
      <c r="M259" s="1527"/>
      <c r="N259" s="1527"/>
      <c r="O259" s="1527"/>
      <c r="P259" s="1527"/>
      <c r="Q259" s="1527"/>
      <c r="R259" s="1527"/>
      <c r="S259" s="1527"/>
      <c r="T259" s="1527"/>
      <c r="U259" s="1527"/>
      <c r="V259" s="1527"/>
      <c r="W259" s="1527"/>
      <c r="X259" s="1527"/>
      <c r="Y259" s="1527"/>
      <c r="Z259" s="1527"/>
      <c r="AA259" s="1527"/>
      <c r="AB259" s="1527"/>
      <c r="AC259" s="1527"/>
      <c r="AD259" s="1527"/>
      <c r="AE259" s="1527"/>
      <c r="AF259" s="1527" t="s">
        <v>307</v>
      </c>
      <c r="AG259" s="1527"/>
      <c r="AH259" s="1527"/>
      <c r="AI259" s="1527"/>
      <c r="AJ259" s="1527"/>
      <c r="AK259" s="152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3"/>
      <c r="N260" s="1483"/>
      <c r="O260" s="1483"/>
      <c r="P260" s="1483"/>
      <c r="Q260" s="1483"/>
      <c r="R260" s="1483"/>
      <c r="S260" s="1483"/>
      <c r="T260" s="1483"/>
      <c r="U260" s="1483"/>
      <c r="V260" s="1483"/>
      <c r="W260" s="1483"/>
      <c r="X260" s="1483"/>
      <c r="Y260" s="1483"/>
      <c r="Z260" s="1483"/>
      <c r="AA260" s="1483"/>
      <c r="AB260" s="1483"/>
      <c r="AC260" s="1483"/>
      <c r="AD260" s="1483"/>
      <c r="AE260" s="1483"/>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3"/>
      <c r="N261" s="1483"/>
      <c r="O261" s="1483"/>
      <c r="P261" s="1483"/>
      <c r="Q261" s="1483"/>
      <c r="R261" s="1483"/>
      <c r="S261" s="1483"/>
      <c r="T261" s="1483"/>
      <c r="V261" s="33" t="s">
        <v>86</v>
      </c>
      <c r="W261" s="1367"/>
      <c r="X261" s="1367"/>
      <c r="Y261" s="4" t="s">
        <v>591</v>
      </c>
      <c r="AC261" s="1483"/>
      <c r="AD261" s="1483"/>
      <c r="AE261" s="1483"/>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3"/>
      <c r="N262" s="1483"/>
      <c r="O262" s="1483"/>
      <c r="P262" s="1483"/>
      <c r="Q262" s="1483"/>
      <c r="R262" s="1483"/>
      <c r="S262" s="1483"/>
      <c r="T262" s="1483"/>
      <c r="U262" s="1483"/>
      <c r="V262" s="1483"/>
      <c r="W262" s="1483"/>
      <c r="X262" s="1483"/>
      <c r="Y262" s="1483"/>
      <c r="Z262" s="1483"/>
      <c r="AA262" s="1483"/>
      <c r="AB262" s="1483"/>
      <c r="AC262" s="1483"/>
      <c r="AD262" s="1483"/>
      <c r="AE262" s="1483"/>
      <c r="AH262" s="1491"/>
      <c r="AI262" s="1491"/>
      <c r="AJ262" s="1491"/>
      <c r="AK262" s="149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78"/>
      <c r="N263" s="1378"/>
      <c r="O263" s="1378"/>
      <c r="P263" s="1378"/>
      <c r="Q263" s="1378"/>
      <c r="R263" s="1378"/>
      <c r="S263" s="4" t="s">
        <v>206</v>
      </c>
      <c r="T263" s="4"/>
      <c r="U263" s="1367"/>
      <c r="V263" s="1367"/>
      <c r="W263" s="1367"/>
      <c r="X263" s="4" t="s">
        <v>89</v>
      </c>
      <c r="Z263" s="1378"/>
      <c r="AA263" s="1378"/>
      <c r="AB263" s="1378"/>
      <c r="AC263" s="1378"/>
      <c r="AD263" s="1378"/>
      <c r="AE263" s="137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62" t="s">
        <v>307</v>
      </c>
      <c r="N265" s="1362"/>
      <c r="O265" s="1362"/>
      <c r="P265" s="1362"/>
      <c r="Q265" s="1362"/>
      <c r="R265" s="1362"/>
      <c r="S265" s="1362"/>
      <c r="T265" s="1362"/>
      <c r="U265" s="218" t="s">
        <v>919</v>
      </c>
      <c r="V265" s="218"/>
      <c r="W265" s="218"/>
      <c r="X265" s="218"/>
      <c r="Y265" s="218"/>
      <c r="Z265" s="218"/>
      <c r="AA265" s="1532"/>
      <c r="AB265" s="1532"/>
      <c r="AC265" s="1532"/>
      <c r="AD265" s="1532"/>
      <c r="AE265" s="1532"/>
      <c r="AF265" s="1532"/>
      <c r="AG265" s="1532"/>
      <c r="AH265" s="1532"/>
      <c r="AI265" s="1532"/>
      <c r="AJ265" s="1532"/>
      <c r="AK265" s="153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484" t="str">
        <f>IFERROR(BO245,"")</f>
        <v>Joint Venture</v>
      </c>
      <c r="U267" s="1484"/>
      <c r="V267" s="1484"/>
      <c r="W267" s="1484"/>
      <c r="X267" s="1484"/>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83" t="s">
        <v>280</v>
      </c>
      <c r="E270" s="1483"/>
      <c r="F270" s="1483"/>
      <c r="G270" s="1483"/>
      <c r="H270" s="1483"/>
      <c r="J270" t="s">
        <v>279</v>
      </c>
      <c r="X270" s="1546"/>
      <c r="Y270" s="1546"/>
      <c r="Z270" s="1546"/>
      <c r="AA270" s="1546"/>
      <c r="AB270" s="1546"/>
      <c r="AC270" s="154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27" t="s">
        <v>2649</v>
      </c>
      <c r="M274" s="1527"/>
      <c r="N274" s="1527"/>
      <c r="O274" s="1527"/>
      <c r="P274" s="1527"/>
      <c r="Q274" s="1527"/>
      <c r="R274" s="1527"/>
      <c r="S274" s="1527"/>
      <c r="T274" s="1527"/>
      <c r="U274" s="1527"/>
      <c r="V274" s="1527"/>
      <c r="W274" s="1527"/>
      <c r="X274" s="1527"/>
      <c r="Y274" s="1527"/>
      <c r="Z274" s="1527"/>
      <c r="AA274" s="1527"/>
      <c r="AB274" s="1527"/>
      <c r="AC274" s="1527"/>
      <c r="AD274" s="1527"/>
      <c r="AE274" s="1527"/>
      <c r="AF274" s="1527"/>
      <c r="AG274" s="1527"/>
      <c r="AH274" s="1527"/>
      <c r="AI274" s="1527"/>
      <c r="AJ274" s="152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3" t="s">
        <v>2643</v>
      </c>
      <c r="M275" s="1483"/>
      <c r="N275" s="1483"/>
      <c r="O275" s="1483"/>
      <c r="P275" s="1483"/>
      <c r="Q275" s="1483"/>
      <c r="R275" s="1483"/>
      <c r="S275" s="1483"/>
      <c r="T275" s="1483"/>
      <c r="U275" s="1483"/>
      <c r="V275" s="1483"/>
      <c r="W275" s="1483"/>
      <c r="X275" s="1483"/>
      <c r="Y275" s="1483"/>
      <c r="Z275" s="1483"/>
      <c r="AA275" s="1483"/>
      <c r="AB275" s="1483"/>
      <c r="AC275" s="1483"/>
      <c r="AD275" s="148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31" t="s">
        <v>502</v>
      </c>
      <c r="M276" s="1483"/>
      <c r="N276" s="1483"/>
      <c r="O276" s="1483"/>
      <c r="P276" s="1483"/>
      <c r="Q276" s="1483"/>
      <c r="R276" s="1483"/>
      <c r="S276" s="1483"/>
      <c r="U276" s="33" t="s">
        <v>86</v>
      </c>
      <c r="V276" s="1503" t="s">
        <v>2645</v>
      </c>
      <c r="W276" s="1367"/>
      <c r="X276" s="4" t="s">
        <v>591</v>
      </c>
      <c r="AB276" s="1483">
        <v>90064</v>
      </c>
      <c r="AC276" s="1483"/>
      <c r="AD276" s="148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1" t="s">
        <v>2646</v>
      </c>
      <c r="M277" s="1483"/>
      <c r="N277" s="1483"/>
      <c r="O277" s="1483"/>
      <c r="P277" s="1483"/>
      <c r="Q277" s="1483"/>
      <c r="R277" s="1483"/>
      <c r="S277" s="1483"/>
      <c r="T277" s="1483"/>
      <c r="U277" s="1483"/>
      <c r="V277" s="1483"/>
      <c r="W277" s="1483"/>
      <c r="X277" s="1483"/>
      <c r="Y277" s="1483"/>
      <c r="Z277" s="1483"/>
      <c r="AA277" s="1483"/>
      <c r="AB277" s="1483"/>
      <c r="AC277" s="1483"/>
      <c r="AD277" s="1483"/>
      <c r="AI277" s="4"/>
      <c r="AJ277" s="4"/>
      <c r="AK277" s="3"/>
      <c r="AL277" s="3"/>
      <c r="AM277" s="3"/>
      <c r="AN277" s="3"/>
      <c r="AO277" s="3"/>
      <c r="AP277" s="3"/>
      <c r="AQ277" s="3"/>
      <c r="AR277" s="3"/>
      <c r="AS277" s="3"/>
      <c r="AT277" s="3"/>
      <c r="BN277" s="34"/>
    </row>
    <row r="278" spans="1:66" ht="12.95" customHeight="1">
      <c r="D278" s="4" t="s">
        <v>88</v>
      </c>
      <c r="E278" s="4"/>
      <c r="F278" s="4"/>
      <c r="L278" s="1361" t="s">
        <v>2647</v>
      </c>
      <c r="M278" s="1378"/>
      <c r="N278" s="1378"/>
      <c r="O278" s="1378"/>
      <c r="P278" s="1378"/>
      <c r="Q278" s="1378"/>
      <c r="R278" s="4" t="s">
        <v>206</v>
      </c>
      <c r="S278" s="4"/>
      <c r="T278" s="1367"/>
      <c r="U278" s="1367"/>
      <c r="V278" s="1367"/>
      <c r="W278" s="4" t="s">
        <v>89</v>
      </c>
      <c r="Y278" s="1378"/>
      <c r="Z278" s="1378"/>
      <c r="AA278" s="1378"/>
      <c r="AB278" s="1378"/>
      <c r="AC278" s="1378"/>
      <c r="AD278" s="1378"/>
      <c r="BN278" s="34"/>
    </row>
    <row r="279" spans="1:66" ht="12.95" customHeight="1">
      <c r="D279" s="4" t="s">
        <v>90</v>
      </c>
      <c r="E279" s="4"/>
      <c r="F279" s="4"/>
      <c r="L279" s="1530" t="s">
        <v>2648</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503" t="s">
        <v>2657</v>
      </c>
      <c r="M280" s="1503"/>
      <c r="N280" s="1503"/>
      <c r="O280" s="1503"/>
      <c r="P280" s="1503"/>
      <c r="Q280" s="1503"/>
      <c r="R280" s="1503"/>
      <c r="S280" s="1503"/>
      <c r="T280" s="1503"/>
      <c r="U280" s="1503"/>
      <c r="V280" s="1503"/>
      <c r="W280" s="1503"/>
      <c r="X280" s="1503"/>
      <c r="Y280" s="1503"/>
      <c r="Z280" s="1503"/>
      <c r="AA280" s="1503"/>
      <c r="AB280" s="1503"/>
      <c r="AC280" s="1503"/>
      <c r="AD280" s="1503"/>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63" t="s">
        <v>549</v>
      </c>
      <c r="B282" s="1663"/>
      <c r="C282" s="1663"/>
      <c r="D282" s="1663"/>
      <c r="E282" s="1663"/>
      <c r="F282" s="1663"/>
      <c r="G282" s="1663"/>
      <c r="H282" s="1663"/>
      <c r="I282" s="1663"/>
      <c r="J282" s="1663"/>
      <c r="K282" s="1663"/>
      <c r="L282" s="1663"/>
      <c r="M282" s="1663"/>
      <c r="N282" s="1663"/>
      <c r="O282" s="1663"/>
      <c r="P282" s="1663"/>
      <c r="Q282" s="1663"/>
      <c r="R282" s="1663"/>
      <c r="S282" s="1663"/>
      <c r="T282" s="1663"/>
      <c r="U282" s="1663"/>
      <c r="V282" s="1663"/>
      <c r="W282" s="1663"/>
      <c r="X282" s="1663"/>
      <c r="Y282" s="1663"/>
      <c r="Z282" s="1663"/>
      <c r="AA282" s="1663"/>
      <c r="AB282" s="1663"/>
      <c r="AC282" s="1663"/>
      <c r="AD282" s="1663"/>
      <c r="AE282" s="1663"/>
      <c r="AF282" s="1663"/>
      <c r="AG282" s="1663"/>
      <c r="AH282" s="1663"/>
      <c r="AI282" s="1663"/>
      <c r="AJ282" s="1663"/>
      <c r="AK282" s="1663"/>
      <c r="AL282" s="1663"/>
      <c r="AM282" s="1663"/>
      <c r="AN282" s="1663"/>
      <c r="AO282" s="1663"/>
      <c r="AP282" s="1663"/>
      <c r="AQ282" s="1663"/>
      <c r="AR282" s="1663"/>
      <c r="AS282" s="1663"/>
      <c r="AT282" s="1663"/>
      <c r="AU282" s="95"/>
      <c r="AV282" s="95"/>
      <c r="AW282" s="95"/>
      <c r="AX282" s="95"/>
      <c r="AY282" s="95"/>
      <c r="BN282" s="34"/>
    </row>
    <row r="283" spans="1:66" ht="12.95" customHeight="1">
      <c r="A283" s="1663"/>
      <c r="B283" s="1663"/>
      <c r="C283" s="1663"/>
      <c r="D283" s="1663"/>
      <c r="E283" s="1663"/>
      <c r="F283" s="1663"/>
      <c r="G283" s="1663"/>
      <c r="H283" s="1663"/>
      <c r="I283" s="1663"/>
      <c r="J283" s="1663"/>
      <c r="K283" s="1663"/>
      <c r="L283" s="1663"/>
      <c r="M283" s="1663"/>
      <c r="N283" s="1663"/>
      <c r="O283" s="1663"/>
      <c r="P283" s="1663"/>
      <c r="Q283" s="1663"/>
      <c r="R283" s="1663"/>
      <c r="S283" s="1663"/>
      <c r="T283" s="1663"/>
      <c r="U283" s="1663"/>
      <c r="V283" s="1663"/>
      <c r="W283" s="1663"/>
      <c r="X283" s="1663"/>
      <c r="Y283" s="1663"/>
      <c r="Z283" s="1663"/>
      <c r="AA283" s="1663"/>
      <c r="AB283" s="1663"/>
      <c r="AC283" s="1663"/>
      <c r="AD283" s="1663"/>
      <c r="AE283" s="1663"/>
      <c r="AF283" s="1663"/>
      <c r="AG283" s="1663"/>
      <c r="AH283" s="1663"/>
      <c r="AI283" s="1663"/>
      <c r="AJ283" s="1663"/>
      <c r="AK283" s="1663"/>
      <c r="AL283" s="1663"/>
      <c r="AM283" s="1663"/>
      <c r="AN283" s="1663"/>
      <c r="AO283" s="1663"/>
      <c r="AP283" s="1663"/>
      <c r="AQ283" s="1663"/>
      <c r="AR283" s="1663"/>
      <c r="AS283" s="1663"/>
      <c r="AT283" s="16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60" t="s">
        <v>2649</v>
      </c>
      <c r="I287" s="1360"/>
      <c r="J287" s="1360"/>
      <c r="K287" s="1360"/>
      <c r="L287" s="1360"/>
      <c r="M287" s="1360"/>
      <c r="N287" s="1360"/>
      <c r="O287" s="1360"/>
      <c r="P287" s="1360"/>
      <c r="Q287" s="1360"/>
      <c r="R287" s="1360"/>
      <c r="T287" s="3" t="s">
        <v>575</v>
      </c>
      <c r="V287" s="3"/>
      <c r="W287" s="3"/>
      <c r="X287" s="3"/>
      <c r="Y287" s="3"/>
      <c r="AA287" s="1360" t="s">
        <v>2661</v>
      </c>
      <c r="AB287" s="1360"/>
      <c r="AC287" s="1360"/>
      <c r="AD287" s="1360"/>
      <c r="AE287" s="1360"/>
      <c r="AF287" s="1360"/>
      <c r="AG287" s="1360"/>
      <c r="AH287" s="1360"/>
      <c r="AI287" s="1360"/>
      <c r="AJ287" s="1360"/>
      <c r="AK287" s="1360"/>
      <c r="BN287" s="34"/>
    </row>
    <row r="288" spans="1:66" ht="12.95" customHeight="1">
      <c r="B288" s="3" t="s">
        <v>479</v>
      </c>
      <c r="C288" s="3"/>
      <c r="D288" s="3"/>
      <c r="E288" s="3"/>
      <c r="F288" s="3"/>
      <c r="H288" s="1362" t="s">
        <v>2658</v>
      </c>
      <c r="I288" s="1362"/>
      <c r="J288" s="1362"/>
      <c r="K288" s="1362"/>
      <c r="L288" s="1362"/>
      <c r="M288" s="1362"/>
      <c r="N288" s="1362"/>
      <c r="O288" s="1362"/>
      <c r="P288" s="1362"/>
      <c r="Q288" s="1362"/>
      <c r="R288" s="1362"/>
      <c r="T288" s="3" t="s">
        <v>479</v>
      </c>
      <c r="V288" s="3"/>
      <c r="W288" s="3"/>
      <c r="X288" s="3"/>
      <c r="Y288" s="3"/>
      <c r="AA288" s="1362" t="s">
        <v>2662</v>
      </c>
      <c r="AB288" s="1362"/>
      <c r="AC288" s="1362"/>
      <c r="AD288" s="1362"/>
      <c r="AE288" s="1362"/>
      <c r="AF288" s="1362"/>
      <c r="AG288" s="1362"/>
      <c r="AH288" s="1362"/>
      <c r="AI288" s="1362"/>
      <c r="AJ288" s="1362"/>
      <c r="AK288" s="1362"/>
      <c r="BN288" s="34"/>
    </row>
    <row r="289" spans="2:66" ht="12.95" customHeight="1">
      <c r="B289" s="3" t="s">
        <v>480</v>
      </c>
      <c r="C289" s="3"/>
      <c r="D289" s="3"/>
      <c r="E289" s="3"/>
      <c r="F289" s="3"/>
      <c r="H289" s="1362" t="s">
        <v>2659</v>
      </c>
      <c r="I289" s="1362"/>
      <c r="J289" s="1362"/>
      <c r="K289" s="1362"/>
      <c r="L289" s="1362"/>
      <c r="M289" s="1362"/>
      <c r="N289" s="1362"/>
      <c r="O289" s="1362"/>
      <c r="P289" s="1362"/>
      <c r="Q289" s="1362"/>
      <c r="R289" s="1362"/>
      <c r="T289" s="3" t="s">
        <v>75</v>
      </c>
      <c r="V289" s="3"/>
      <c r="W289" s="3"/>
      <c r="X289" s="3"/>
      <c r="Y289" s="3"/>
      <c r="AA289" s="1362" t="s">
        <v>2663</v>
      </c>
      <c r="AB289" s="1362"/>
      <c r="AC289" s="1362"/>
      <c r="AD289" s="1362"/>
      <c r="AE289" s="1362"/>
      <c r="AF289" s="1362"/>
      <c r="AG289" s="1362"/>
      <c r="AH289" s="1362"/>
      <c r="AI289" s="1362"/>
      <c r="AJ289" s="1362"/>
      <c r="AK289" s="1362"/>
      <c r="BN289" s="34"/>
    </row>
    <row r="290" spans="2:66" ht="12.95" customHeight="1">
      <c r="B290" s="3" t="s">
        <v>87</v>
      </c>
      <c r="C290" s="3"/>
      <c r="D290" s="3"/>
      <c r="E290" s="3"/>
      <c r="F290" s="3"/>
      <c r="H290" s="1362" t="s">
        <v>2646</v>
      </c>
      <c r="I290" s="1362"/>
      <c r="J290" s="1362"/>
      <c r="K290" s="1362"/>
      <c r="L290" s="1362"/>
      <c r="M290" s="1362"/>
      <c r="N290" s="1362"/>
      <c r="O290" s="1362"/>
      <c r="P290" s="1362"/>
      <c r="Q290" s="1362"/>
      <c r="R290" s="1362"/>
      <c r="T290" s="3" t="s">
        <v>87</v>
      </c>
      <c r="V290" s="3"/>
      <c r="W290" s="3"/>
      <c r="X290" s="3"/>
      <c r="Y290" s="3"/>
      <c r="AA290" s="1362" t="s">
        <v>2664</v>
      </c>
      <c r="AB290" s="1362"/>
      <c r="AC290" s="1362"/>
      <c r="AD290" s="1362"/>
      <c r="AE290" s="1362"/>
      <c r="AF290" s="1362"/>
      <c r="AG290" s="1362"/>
      <c r="AH290" s="1362"/>
      <c r="AI290" s="1362"/>
      <c r="AJ290" s="1362"/>
      <c r="AK290" s="1362"/>
      <c r="BN290" s="34"/>
    </row>
    <row r="291" spans="2:66" ht="12.95" customHeight="1">
      <c r="B291" s="3" t="s">
        <v>88</v>
      </c>
      <c r="C291" s="3"/>
      <c r="D291" s="3"/>
      <c r="E291" s="3"/>
      <c r="F291" s="3"/>
      <c r="G291" s="3"/>
      <c r="H291" s="1515" t="s">
        <v>2647</v>
      </c>
      <c r="I291" s="1515"/>
      <c r="J291" s="1515"/>
      <c r="K291" s="1515"/>
      <c r="L291" s="1515"/>
      <c r="M291" s="1515"/>
      <c r="N291" s="4" t="s">
        <v>206</v>
      </c>
      <c r="O291" s="4"/>
      <c r="P291" s="1483"/>
      <c r="Q291" s="1483"/>
      <c r="R291" s="1483"/>
      <c r="S291" s="3"/>
      <c r="T291" s="3" t="s">
        <v>88</v>
      </c>
      <c r="V291" s="3"/>
      <c r="W291" s="3"/>
      <c r="X291" s="3"/>
      <c r="Y291" s="3"/>
      <c r="AA291" s="1515" t="s">
        <v>2665</v>
      </c>
      <c r="AB291" s="1515"/>
      <c r="AC291" s="1515"/>
      <c r="AD291" s="1515"/>
      <c r="AE291" s="1515"/>
      <c r="AF291" s="1515"/>
      <c r="AG291" s="4" t="s">
        <v>206</v>
      </c>
      <c r="AH291" s="4"/>
      <c r="AI291" s="1483"/>
      <c r="AJ291" s="1483"/>
      <c r="AK291" s="1483"/>
      <c r="BN291" s="34"/>
    </row>
    <row r="292" spans="2:66" ht="12.95" customHeight="1">
      <c r="B292" s="3" t="s">
        <v>89</v>
      </c>
      <c r="C292" s="3"/>
      <c r="D292" s="3"/>
      <c r="E292" s="3"/>
      <c r="F292" s="3"/>
      <c r="G292" s="3"/>
      <c r="H292" s="1378" t="s">
        <v>2660</v>
      </c>
      <c r="I292" s="1378"/>
      <c r="J292" s="1378"/>
      <c r="K292" s="1378"/>
      <c r="L292" s="1378"/>
      <c r="M292" s="1378"/>
      <c r="N292" s="4"/>
      <c r="O292" s="4"/>
      <c r="P292" s="35"/>
      <c r="Q292" s="35"/>
      <c r="R292" s="35"/>
      <c r="S292" s="3"/>
      <c r="T292" s="3" t="s">
        <v>89</v>
      </c>
      <c r="V292" s="3"/>
      <c r="W292" s="3"/>
      <c r="X292" s="3"/>
      <c r="Y292" s="3"/>
      <c r="AA292" s="1378"/>
      <c r="AB292" s="1378"/>
      <c r="AC292" s="1378"/>
      <c r="AD292" s="1378"/>
      <c r="AE292" s="1378"/>
      <c r="AF292" s="1378"/>
      <c r="AG292" s="4"/>
      <c r="AH292" s="4"/>
      <c r="AI292" s="35"/>
      <c r="AJ292" s="35"/>
      <c r="AK292" s="35"/>
      <c r="BN292" s="34"/>
    </row>
    <row r="293" spans="2:66" ht="12.95" customHeight="1">
      <c r="B293" s="3" t="s">
        <v>76</v>
      </c>
      <c r="C293" s="3"/>
      <c r="D293" s="3"/>
      <c r="E293" s="3"/>
      <c r="F293" s="3"/>
      <c r="G293" s="3"/>
      <c r="H293" s="1362" t="s">
        <v>2648</v>
      </c>
      <c r="I293" s="1362"/>
      <c r="J293" s="1362"/>
      <c r="K293" s="1362"/>
      <c r="L293" s="1362"/>
      <c r="M293" s="1362"/>
      <c r="N293" s="1360"/>
      <c r="O293" s="1360"/>
      <c r="P293" s="1360"/>
      <c r="Q293" s="1360"/>
      <c r="R293" s="1360"/>
      <c r="S293" s="3"/>
      <c r="T293" s="3" t="s">
        <v>76</v>
      </c>
      <c r="V293" s="3"/>
      <c r="W293" s="3"/>
      <c r="X293" s="3"/>
      <c r="Y293" s="3"/>
      <c r="AA293" s="1362" t="s">
        <v>2666</v>
      </c>
      <c r="AB293" s="1362"/>
      <c r="AC293" s="1362"/>
      <c r="AD293" s="1362"/>
      <c r="AE293" s="1362"/>
      <c r="AF293" s="1362"/>
      <c r="AG293" s="1360"/>
      <c r="AH293" s="1360"/>
      <c r="AI293" s="1360"/>
      <c r="AJ293" s="1360"/>
      <c r="AK293" s="136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60" t="s">
        <v>2667</v>
      </c>
      <c r="I295" s="1360"/>
      <c r="J295" s="1360"/>
      <c r="K295" s="1360"/>
      <c r="L295" s="1360"/>
      <c r="M295" s="1360"/>
      <c r="N295" s="1360"/>
      <c r="O295" s="1360"/>
      <c r="P295" s="1360"/>
      <c r="Q295" s="1360"/>
      <c r="R295" s="1360"/>
      <c r="T295" s="3" t="s">
        <v>364</v>
      </c>
      <c r="V295" s="3"/>
      <c r="W295" s="3"/>
      <c r="X295" s="3"/>
      <c r="Y295" s="3"/>
      <c r="AA295" s="1360" t="s">
        <v>2680</v>
      </c>
      <c r="AB295" s="1360"/>
      <c r="AC295" s="1360"/>
      <c r="AD295" s="1360"/>
      <c r="AE295" s="1360"/>
      <c r="AF295" s="1360"/>
      <c r="AG295" s="1360"/>
      <c r="AH295" s="1360"/>
      <c r="AI295" s="1360"/>
      <c r="AJ295" s="1360"/>
      <c r="AK295" s="1360"/>
      <c r="BN295" s="34"/>
    </row>
    <row r="296" spans="2:66" ht="12.95" customHeight="1">
      <c r="B296" s="3" t="s">
        <v>479</v>
      </c>
      <c r="C296" s="3"/>
      <c r="D296" s="3"/>
      <c r="E296" s="3"/>
      <c r="F296" s="3"/>
      <c r="H296" s="1362" t="s">
        <v>2668</v>
      </c>
      <c r="I296" s="1362"/>
      <c r="J296" s="1362"/>
      <c r="K296" s="1362"/>
      <c r="L296" s="1362"/>
      <c r="M296" s="1362"/>
      <c r="N296" s="1362"/>
      <c r="O296" s="1362"/>
      <c r="P296" s="1362"/>
      <c r="Q296" s="1362"/>
      <c r="R296" s="1362"/>
      <c r="T296" s="3" t="s">
        <v>479</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480</v>
      </c>
      <c r="C297" s="3"/>
      <c r="D297" s="3"/>
      <c r="E297" s="3"/>
      <c r="F297" s="3"/>
      <c r="H297" s="1362" t="s">
        <v>2669</v>
      </c>
      <c r="I297" s="1362"/>
      <c r="J297" s="1362"/>
      <c r="K297" s="1362"/>
      <c r="L297" s="1362"/>
      <c r="M297" s="1362"/>
      <c r="N297" s="1362"/>
      <c r="O297" s="1362"/>
      <c r="P297" s="1362"/>
      <c r="Q297" s="1362"/>
      <c r="R297" s="1362"/>
      <c r="T297" s="3" t="s">
        <v>75</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87</v>
      </c>
      <c r="C298" s="3"/>
      <c r="D298" s="3"/>
      <c r="E298" s="3"/>
      <c r="F298" s="3"/>
      <c r="H298" s="1362" t="s">
        <v>2670</v>
      </c>
      <c r="I298" s="1362"/>
      <c r="J298" s="1362"/>
      <c r="K298" s="1362"/>
      <c r="L298" s="1362"/>
      <c r="M298" s="1362"/>
      <c r="N298" s="1362"/>
      <c r="O298" s="1362"/>
      <c r="P298" s="1362"/>
      <c r="Q298" s="1362"/>
      <c r="R298" s="1362"/>
      <c r="T298" s="3" t="s">
        <v>87</v>
      </c>
      <c r="V298" s="3"/>
      <c r="W298" s="3"/>
      <c r="X298" s="3"/>
      <c r="Y298" s="3"/>
      <c r="AA298" s="1362"/>
      <c r="AB298" s="1362"/>
      <c r="AC298" s="1362"/>
      <c r="AD298" s="1362"/>
      <c r="AE298" s="1362"/>
      <c r="AF298" s="1362"/>
      <c r="AG298" s="1362"/>
      <c r="AH298" s="1362"/>
      <c r="AI298" s="1362"/>
      <c r="AJ298" s="1362"/>
      <c r="AK298" s="1362"/>
      <c r="BN298" s="34"/>
    </row>
    <row r="299" spans="2:66" ht="12.95" customHeight="1">
      <c r="B299" s="3" t="s">
        <v>88</v>
      </c>
      <c r="C299" s="3"/>
      <c r="D299" s="3"/>
      <c r="E299" s="3"/>
      <c r="F299" s="3"/>
      <c r="G299" s="3"/>
      <c r="H299" s="1515" t="s">
        <v>2671</v>
      </c>
      <c r="I299" s="1515"/>
      <c r="J299" s="1515"/>
      <c r="K299" s="1515"/>
      <c r="L299" s="1515"/>
      <c r="M299" s="1515"/>
      <c r="N299" s="4" t="s">
        <v>206</v>
      </c>
      <c r="O299" s="4"/>
      <c r="P299" s="1483"/>
      <c r="Q299" s="1483"/>
      <c r="R299" s="1483"/>
      <c r="S299" s="3"/>
      <c r="T299" s="3" t="s">
        <v>88</v>
      </c>
      <c r="V299" s="3"/>
      <c r="W299" s="3"/>
      <c r="X299" s="3"/>
      <c r="Y299" s="3"/>
      <c r="AA299" s="1515"/>
      <c r="AB299" s="1515"/>
      <c r="AC299" s="1515"/>
      <c r="AD299" s="1515"/>
      <c r="AE299" s="1515"/>
      <c r="AF299" s="1515"/>
      <c r="AG299" s="4" t="s">
        <v>206</v>
      </c>
      <c r="AH299" s="4"/>
      <c r="AI299" s="1483"/>
      <c r="AJ299" s="1483"/>
      <c r="AK299" s="1483"/>
      <c r="BN299" s="34"/>
    </row>
    <row r="300" spans="2:66" ht="12.95" customHeight="1">
      <c r="B300" s="3" t="s">
        <v>89</v>
      </c>
      <c r="C300" s="3"/>
      <c r="D300" s="3"/>
      <c r="E300" s="3"/>
      <c r="F300" s="3"/>
      <c r="G300" s="3"/>
      <c r="H300" s="1378" t="s">
        <v>2672</v>
      </c>
      <c r="I300" s="1378"/>
      <c r="J300" s="1378"/>
      <c r="K300" s="1378"/>
      <c r="L300" s="1378"/>
      <c r="M300" s="1378"/>
      <c r="N300" s="4"/>
      <c r="O300" s="4"/>
      <c r="P300" s="35"/>
      <c r="Q300" s="35"/>
      <c r="R300" s="35"/>
      <c r="S300" s="3"/>
      <c r="T300" s="3" t="s">
        <v>89</v>
      </c>
      <c r="V300" s="3"/>
      <c r="W300" s="3"/>
      <c r="X300" s="3"/>
      <c r="Y300" s="3"/>
      <c r="AA300" s="1378"/>
      <c r="AB300" s="1378"/>
      <c r="AC300" s="1378"/>
      <c r="AD300" s="1378"/>
      <c r="AE300" s="1378"/>
      <c r="AF300" s="1378"/>
      <c r="AG300" s="4"/>
      <c r="AH300" s="4"/>
      <c r="AI300" s="35"/>
      <c r="AJ300" s="35"/>
      <c r="AK300" s="35"/>
      <c r="BN300" s="34"/>
    </row>
    <row r="301" spans="2:66" ht="12.95" customHeight="1">
      <c r="B301" s="3" t="s">
        <v>76</v>
      </c>
      <c r="C301" s="3"/>
      <c r="D301" s="3"/>
      <c r="E301" s="3"/>
      <c r="F301" s="3"/>
      <c r="G301" s="3"/>
      <c r="H301" s="1362" t="s">
        <v>2673</v>
      </c>
      <c r="I301" s="1362"/>
      <c r="J301" s="1362"/>
      <c r="K301" s="1362"/>
      <c r="L301" s="1362"/>
      <c r="M301" s="1362"/>
      <c r="N301" s="1360"/>
      <c r="O301" s="1360"/>
      <c r="P301" s="1360"/>
      <c r="Q301" s="1360"/>
      <c r="R301" s="1360"/>
      <c r="S301" s="3"/>
      <c r="T301" s="3" t="s">
        <v>76</v>
      </c>
      <c r="V301" s="3"/>
      <c r="W301" s="3"/>
      <c r="X301" s="3"/>
      <c r="Y301" s="3"/>
      <c r="AA301" s="1362"/>
      <c r="AB301" s="1362"/>
      <c r="AC301" s="1362"/>
      <c r="AD301" s="1362"/>
      <c r="AE301" s="1362"/>
      <c r="AF301" s="1362"/>
      <c r="AG301" s="1360"/>
      <c r="AH301" s="1360"/>
      <c r="AI301" s="1360"/>
      <c r="AJ301" s="1360"/>
      <c r="AK301" s="1360"/>
      <c r="BN301" s="34"/>
    </row>
    <row r="302" spans="2:66" ht="12.95" customHeight="1">
      <c r="BN302" s="34"/>
    </row>
    <row r="303" spans="2:66" ht="12.95" customHeight="1">
      <c r="B303" s="3" t="s">
        <v>77</v>
      </c>
      <c r="C303" s="3"/>
      <c r="D303" s="3"/>
      <c r="E303" s="3"/>
      <c r="F303" s="3"/>
      <c r="H303" s="1360" t="s">
        <v>2674</v>
      </c>
      <c r="I303" s="1360"/>
      <c r="J303" s="1360"/>
      <c r="K303" s="1360"/>
      <c r="L303" s="1360"/>
      <c r="M303" s="1360"/>
      <c r="N303" s="1360"/>
      <c r="O303" s="1360"/>
      <c r="P303" s="1360"/>
      <c r="Q303" s="1360"/>
      <c r="R303" s="1360"/>
      <c r="T303" s="4" t="s">
        <v>888</v>
      </c>
      <c r="V303" s="3"/>
      <c r="W303" s="3"/>
      <c r="X303" s="3"/>
      <c r="Y303" s="3"/>
      <c r="AA303" s="1360" t="s">
        <v>2680</v>
      </c>
      <c r="AB303" s="1360"/>
      <c r="AC303" s="1360"/>
      <c r="AD303" s="1360"/>
      <c r="AE303" s="1360"/>
      <c r="AF303" s="1360"/>
      <c r="AG303" s="1360"/>
      <c r="AH303" s="1360"/>
      <c r="AI303" s="1360"/>
      <c r="AJ303" s="1360"/>
      <c r="AK303" s="1360"/>
      <c r="BN303" s="34"/>
    </row>
    <row r="304" spans="2:66" ht="12.95" customHeight="1">
      <c r="B304" s="3" t="s">
        <v>479</v>
      </c>
      <c r="C304" s="3"/>
      <c r="D304" s="3"/>
      <c r="E304" s="3"/>
      <c r="F304" s="3"/>
      <c r="H304" s="1362" t="s">
        <v>2675</v>
      </c>
      <c r="I304" s="1362"/>
      <c r="J304" s="1362"/>
      <c r="K304" s="1362"/>
      <c r="L304" s="1362"/>
      <c r="M304" s="1362"/>
      <c r="N304" s="1362"/>
      <c r="O304" s="1362"/>
      <c r="P304" s="1362"/>
      <c r="Q304" s="1362"/>
      <c r="R304" s="1362"/>
      <c r="T304" s="3" t="s">
        <v>479</v>
      </c>
      <c r="V304" s="3"/>
      <c r="W304" s="3"/>
      <c r="X304" s="3"/>
      <c r="Y304" s="3"/>
      <c r="AA304" s="1362"/>
      <c r="AB304" s="1362"/>
      <c r="AC304" s="1362"/>
      <c r="AD304" s="1362"/>
      <c r="AE304" s="1362"/>
      <c r="AF304" s="1362"/>
      <c r="AG304" s="1362"/>
      <c r="AH304" s="1362"/>
      <c r="AI304" s="1362"/>
      <c r="AJ304" s="1362"/>
      <c r="AK304" s="1362"/>
      <c r="BN304" s="34"/>
    </row>
    <row r="305" spans="2:66" ht="12.95" customHeight="1">
      <c r="B305" s="3" t="s">
        <v>480</v>
      </c>
      <c r="C305" s="3"/>
      <c r="D305" s="3"/>
      <c r="E305" s="3"/>
      <c r="F305" s="3"/>
      <c r="H305" s="1362" t="s">
        <v>2676</v>
      </c>
      <c r="I305" s="1362"/>
      <c r="J305" s="1362"/>
      <c r="K305" s="1362"/>
      <c r="L305" s="1362"/>
      <c r="M305" s="1362"/>
      <c r="N305" s="1362"/>
      <c r="O305" s="1362"/>
      <c r="P305" s="1362"/>
      <c r="Q305" s="1362"/>
      <c r="R305" s="1362"/>
      <c r="T305" s="3" t="s">
        <v>75</v>
      </c>
      <c r="V305" s="3"/>
      <c r="W305" s="3"/>
      <c r="X305" s="3"/>
      <c r="Y305" s="3"/>
      <c r="AA305" s="1362"/>
      <c r="AB305" s="1362"/>
      <c r="AC305" s="1362"/>
      <c r="AD305" s="1362"/>
      <c r="AE305" s="1362"/>
      <c r="AF305" s="1362"/>
      <c r="AG305" s="1362"/>
      <c r="AH305" s="1362"/>
      <c r="AI305" s="1362"/>
      <c r="AJ305" s="1362"/>
      <c r="AK305" s="1362"/>
      <c r="BN305" s="34"/>
    </row>
    <row r="306" spans="2:66" ht="12.95" customHeight="1">
      <c r="B306" s="3" t="s">
        <v>87</v>
      </c>
      <c r="C306" s="3"/>
      <c r="D306" s="3"/>
      <c r="E306" s="3"/>
      <c r="F306" s="3"/>
      <c r="H306" s="1362" t="s">
        <v>2677</v>
      </c>
      <c r="I306" s="1362"/>
      <c r="J306" s="1362"/>
      <c r="K306" s="1362"/>
      <c r="L306" s="1362"/>
      <c r="M306" s="1362"/>
      <c r="N306" s="1362"/>
      <c r="O306" s="1362"/>
      <c r="P306" s="1362"/>
      <c r="Q306" s="1362"/>
      <c r="R306" s="1362"/>
      <c r="T306" s="3" t="s">
        <v>87</v>
      </c>
      <c r="V306" s="3"/>
      <c r="W306" s="3"/>
      <c r="X306" s="3"/>
      <c r="Y306" s="3"/>
      <c r="AA306" s="1362"/>
      <c r="AB306" s="1362"/>
      <c r="AC306" s="1362"/>
      <c r="AD306" s="1362"/>
      <c r="AE306" s="1362"/>
      <c r="AF306" s="1362"/>
      <c r="AG306" s="1362"/>
      <c r="AH306" s="1362"/>
      <c r="AI306" s="1362"/>
      <c r="AJ306" s="1362"/>
      <c r="AK306" s="1362"/>
      <c r="BN306" s="34"/>
    </row>
    <row r="307" spans="2:66" ht="12.95" customHeight="1">
      <c r="B307" s="3" t="s">
        <v>88</v>
      </c>
      <c r="C307" s="3"/>
      <c r="D307" s="3"/>
      <c r="E307" s="3"/>
      <c r="F307" s="3"/>
      <c r="G307" s="3"/>
      <c r="H307" s="1515" t="s">
        <v>2678</v>
      </c>
      <c r="I307" s="1515"/>
      <c r="J307" s="1515"/>
      <c r="K307" s="1515"/>
      <c r="L307" s="1515"/>
      <c r="M307" s="1515"/>
      <c r="N307" s="4" t="s">
        <v>206</v>
      </c>
      <c r="O307" s="4"/>
      <c r="P307" s="1483"/>
      <c r="Q307" s="1483"/>
      <c r="R307" s="1483"/>
      <c r="S307" s="3"/>
      <c r="T307" s="3" t="s">
        <v>88</v>
      </c>
      <c r="V307" s="3"/>
      <c r="W307" s="3"/>
      <c r="X307" s="3"/>
      <c r="Y307" s="3"/>
      <c r="AA307" s="1515"/>
      <c r="AB307" s="1515"/>
      <c r="AC307" s="1515"/>
      <c r="AD307" s="1515"/>
      <c r="AE307" s="1515"/>
      <c r="AF307" s="1515"/>
      <c r="AG307" s="4" t="s">
        <v>206</v>
      </c>
      <c r="AH307" s="4"/>
      <c r="AI307" s="1483"/>
      <c r="AJ307" s="1483"/>
      <c r="AK307" s="1483"/>
      <c r="BN307" s="34"/>
    </row>
    <row r="308" spans="2:66" ht="12.95" customHeight="1">
      <c r="B308" s="3" t="s">
        <v>89</v>
      </c>
      <c r="C308" s="3"/>
      <c r="D308" s="3"/>
      <c r="E308" s="3"/>
      <c r="F308" s="3"/>
      <c r="G308" s="3"/>
      <c r="H308" s="1378"/>
      <c r="I308" s="1378"/>
      <c r="J308" s="1378"/>
      <c r="K308" s="1378"/>
      <c r="L308" s="1378"/>
      <c r="M308" s="1378"/>
      <c r="N308" s="4"/>
      <c r="O308" s="4"/>
      <c r="P308" s="35"/>
      <c r="Q308" s="35"/>
      <c r="R308" s="35"/>
      <c r="S308" s="3"/>
      <c r="T308" s="3" t="s">
        <v>89</v>
      </c>
      <c r="V308" s="3"/>
      <c r="W308" s="3"/>
      <c r="X308" s="3"/>
      <c r="Y308" s="3"/>
      <c r="AA308" s="1378"/>
      <c r="AB308" s="1378"/>
      <c r="AC308" s="1378"/>
      <c r="AD308" s="1378"/>
      <c r="AE308" s="1378"/>
      <c r="AF308" s="1378"/>
      <c r="AG308" s="4"/>
      <c r="AH308" s="4"/>
      <c r="AI308" s="35"/>
      <c r="AJ308" s="35"/>
      <c r="AK308" s="35"/>
      <c r="BN308" s="34"/>
    </row>
    <row r="309" spans="2:66" ht="12.95" customHeight="1">
      <c r="B309" s="3" t="s">
        <v>76</v>
      </c>
      <c r="C309" s="3"/>
      <c r="D309" s="3"/>
      <c r="E309" s="3"/>
      <c r="F309" s="3"/>
      <c r="G309" s="3"/>
      <c r="H309" s="1362" t="s">
        <v>2679</v>
      </c>
      <c r="I309" s="1362"/>
      <c r="J309" s="1362"/>
      <c r="K309" s="1362"/>
      <c r="L309" s="1362"/>
      <c r="M309" s="1362"/>
      <c r="N309" s="1360"/>
      <c r="O309" s="1360"/>
      <c r="P309" s="1360"/>
      <c r="Q309" s="1360"/>
      <c r="R309" s="1360"/>
      <c r="S309" s="3"/>
      <c r="T309" s="3" t="s">
        <v>76</v>
      </c>
      <c r="V309" s="3"/>
      <c r="W309" s="3"/>
      <c r="X309" s="3"/>
      <c r="Y309" s="3"/>
      <c r="AA309" s="1362"/>
      <c r="AB309" s="1362"/>
      <c r="AC309" s="1362"/>
      <c r="AD309" s="1362"/>
      <c r="AE309" s="1362"/>
      <c r="AF309" s="1362"/>
      <c r="AG309" s="1360"/>
      <c r="AH309" s="1360"/>
      <c r="AI309" s="1360"/>
      <c r="AJ309" s="1360"/>
      <c r="AK309" s="136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60" t="s">
        <v>2674</v>
      </c>
      <c r="I311" s="1360"/>
      <c r="J311" s="1360"/>
      <c r="K311" s="1360"/>
      <c r="L311" s="1360"/>
      <c r="M311" s="1360"/>
      <c r="N311" s="1360"/>
      <c r="O311" s="1360"/>
      <c r="P311" s="1360"/>
      <c r="Q311" s="1360"/>
      <c r="R311" s="1360"/>
      <c r="S311" s="3"/>
      <c r="T311" s="3" t="s">
        <v>365</v>
      </c>
      <c r="V311" s="3"/>
      <c r="W311" s="3"/>
      <c r="X311" s="3"/>
      <c r="Y311" s="3"/>
      <c r="AA311" s="1360" t="s">
        <v>2681</v>
      </c>
      <c r="AB311" s="1360"/>
      <c r="AC311" s="1360"/>
      <c r="AD311" s="1360"/>
      <c r="AE311" s="1360"/>
      <c r="AF311" s="1360"/>
      <c r="AG311" s="1360"/>
      <c r="AH311" s="1360"/>
      <c r="AI311" s="1360"/>
      <c r="AJ311" s="1360"/>
      <c r="AK311" s="1360"/>
      <c r="BN311" s="34"/>
    </row>
    <row r="312" spans="2:66" ht="12.95" customHeight="1">
      <c r="B312" s="3" t="s">
        <v>479</v>
      </c>
      <c r="C312" s="3"/>
      <c r="D312" s="3"/>
      <c r="E312" s="3"/>
      <c r="F312" s="3"/>
      <c r="H312" s="1362" t="s">
        <v>2675</v>
      </c>
      <c r="I312" s="1362"/>
      <c r="J312" s="1362"/>
      <c r="K312" s="1362"/>
      <c r="L312" s="1362"/>
      <c r="M312" s="1362"/>
      <c r="N312" s="1362"/>
      <c r="O312" s="1362"/>
      <c r="P312" s="1362"/>
      <c r="Q312" s="1362"/>
      <c r="R312" s="1362"/>
      <c r="S312" s="3"/>
      <c r="T312" s="3" t="s">
        <v>479</v>
      </c>
      <c r="V312" s="3"/>
      <c r="W312" s="3"/>
      <c r="X312" s="3"/>
      <c r="Y312" s="3"/>
      <c r="AA312" s="1362" t="s">
        <v>2682</v>
      </c>
      <c r="AB312" s="1362"/>
      <c r="AC312" s="1362"/>
      <c r="AD312" s="1362"/>
      <c r="AE312" s="1362"/>
      <c r="AF312" s="1362"/>
      <c r="AG312" s="1362"/>
      <c r="AH312" s="1362"/>
      <c r="AI312" s="1362"/>
      <c r="AJ312" s="1362"/>
      <c r="AK312" s="1362"/>
      <c r="BN312" s="34"/>
    </row>
    <row r="313" spans="2:66" ht="12.95" customHeight="1">
      <c r="B313" s="3" t="s">
        <v>480</v>
      </c>
      <c r="C313" s="3"/>
      <c r="D313" s="3"/>
      <c r="E313" s="3"/>
      <c r="F313" s="3"/>
      <c r="H313" s="1362" t="s">
        <v>2676</v>
      </c>
      <c r="I313" s="1362"/>
      <c r="J313" s="1362"/>
      <c r="K313" s="1362"/>
      <c r="L313" s="1362"/>
      <c r="M313" s="1362"/>
      <c r="N313" s="1362"/>
      <c r="O313" s="1362"/>
      <c r="P313" s="1362"/>
      <c r="Q313" s="1362"/>
      <c r="R313" s="1362"/>
      <c r="S313" s="3"/>
      <c r="T313" s="3" t="s">
        <v>75</v>
      </c>
      <c r="V313" s="3"/>
      <c r="W313" s="3"/>
      <c r="X313" s="3"/>
      <c r="Y313" s="3"/>
      <c r="AA313" s="1362" t="s">
        <v>2683</v>
      </c>
      <c r="AB313" s="1362"/>
      <c r="AC313" s="1362"/>
      <c r="AD313" s="1362"/>
      <c r="AE313" s="1362"/>
      <c r="AF313" s="1362"/>
      <c r="AG313" s="1362"/>
      <c r="AH313" s="1362"/>
      <c r="AI313" s="1362"/>
      <c r="AJ313" s="1362"/>
      <c r="AK313" s="1362"/>
      <c r="BN313" s="34"/>
    </row>
    <row r="314" spans="2:66" ht="12.95" customHeight="1">
      <c r="B314" s="3" t="s">
        <v>87</v>
      </c>
      <c r="C314" s="3"/>
      <c r="D314" s="3"/>
      <c r="E314" s="3"/>
      <c r="F314" s="3"/>
      <c r="H314" s="1362" t="s">
        <v>2677</v>
      </c>
      <c r="I314" s="1362"/>
      <c r="J314" s="1362"/>
      <c r="K314" s="1362"/>
      <c r="L314" s="1362"/>
      <c r="M314" s="1362"/>
      <c r="N314" s="1362"/>
      <c r="O314" s="1362"/>
      <c r="P314" s="1362"/>
      <c r="Q314" s="1362"/>
      <c r="R314" s="1362"/>
      <c r="S314" s="3"/>
      <c r="T314" s="3" t="s">
        <v>87</v>
      </c>
      <c r="V314" s="3"/>
      <c r="W314" s="3"/>
      <c r="X314" s="3"/>
      <c r="Y314" s="3"/>
      <c r="AA314" s="1362" t="s">
        <v>2684</v>
      </c>
      <c r="AB314" s="1362"/>
      <c r="AC314" s="1362"/>
      <c r="AD314" s="1362"/>
      <c r="AE314" s="1362"/>
      <c r="AF314" s="1362"/>
      <c r="AG314" s="1362"/>
      <c r="AH314" s="1362"/>
      <c r="AI314" s="1362"/>
      <c r="AJ314" s="1362"/>
      <c r="AK314" s="1362"/>
      <c r="BN314" s="34"/>
    </row>
    <row r="315" spans="2:66" ht="12.95" customHeight="1">
      <c r="B315" s="3" t="s">
        <v>88</v>
      </c>
      <c r="C315" s="3"/>
      <c r="D315" s="3"/>
      <c r="E315" s="3"/>
      <c r="F315" s="3"/>
      <c r="G315" s="3"/>
      <c r="H315" s="1515" t="s">
        <v>2678</v>
      </c>
      <c r="I315" s="1515"/>
      <c r="J315" s="1515"/>
      <c r="K315" s="1515"/>
      <c r="L315" s="1515"/>
      <c r="M315" s="1515"/>
      <c r="N315" s="4" t="s">
        <v>206</v>
      </c>
      <c r="O315" s="4"/>
      <c r="P315" s="1483"/>
      <c r="Q315" s="1483"/>
      <c r="R315" s="1483"/>
      <c r="S315" s="3"/>
      <c r="T315" s="3" t="s">
        <v>88</v>
      </c>
      <c r="V315" s="3"/>
      <c r="W315" s="3"/>
      <c r="X315" s="3"/>
      <c r="Y315" s="3"/>
      <c r="AA315" s="1515" t="s">
        <v>2685</v>
      </c>
      <c r="AB315" s="1515"/>
      <c r="AC315" s="1515"/>
      <c r="AD315" s="1515"/>
      <c r="AE315" s="1515"/>
      <c r="AF315" s="1515"/>
      <c r="AG315" s="4" t="s">
        <v>206</v>
      </c>
      <c r="AH315" s="4"/>
      <c r="AI315" s="1483"/>
      <c r="AJ315" s="1483"/>
      <c r="AK315" s="1483"/>
      <c r="BN315" s="34"/>
    </row>
    <row r="316" spans="2:66" ht="12.95" customHeight="1">
      <c r="B316" s="3" t="s">
        <v>89</v>
      </c>
      <c r="C316" s="3"/>
      <c r="D316" s="3"/>
      <c r="E316" s="3"/>
      <c r="F316" s="3"/>
      <c r="G316" s="3"/>
      <c r="H316" s="1378"/>
      <c r="I316" s="1378"/>
      <c r="J316" s="1378"/>
      <c r="K316" s="1378"/>
      <c r="L316" s="1378"/>
      <c r="M316" s="1378"/>
      <c r="N316" s="4"/>
      <c r="O316" s="4"/>
      <c r="P316" s="35"/>
      <c r="Q316" s="35"/>
      <c r="R316" s="35"/>
      <c r="S316" s="3"/>
      <c r="T316" s="3" t="s">
        <v>89</v>
      </c>
      <c r="V316" s="3"/>
      <c r="W316" s="3"/>
      <c r="X316" s="3"/>
      <c r="Y316" s="3"/>
      <c r="AA316" s="1378"/>
      <c r="AB316" s="1378"/>
      <c r="AC316" s="1378"/>
      <c r="AD316" s="1378"/>
      <c r="AE316" s="1378"/>
      <c r="AF316" s="1378"/>
      <c r="AG316" s="4"/>
      <c r="AH316" s="4"/>
      <c r="AI316" s="35"/>
      <c r="AJ316" s="35"/>
      <c r="AK316" s="35"/>
      <c r="BN316" s="34"/>
    </row>
    <row r="317" spans="2:66" ht="12.95" customHeight="1">
      <c r="B317" s="3" t="s">
        <v>76</v>
      </c>
      <c r="C317" s="3"/>
      <c r="D317" s="3"/>
      <c r="E317" s="3"/>
      <c r="F317" s="3"/>
      <c r="G317" s="3"/>
      <c r="H317" s="1362" t="s">
        <v>2679</v>
      </c>
      <c r="I317" s="1362"/>
      <c r="J317" s="1362"/>
      <c r="K317" s="1362"/>
      <c r="L317" s="1362"/>
      <c r="M317" s="1362"/>
      <c r="N317" s="1360"/>
      <c r="O317" s="1360"/>
      <c r="P317" s="1360"/>
      <c r="Q317" s="1360"/>
      <c r="R317" s="1360"/>
      <c r="S317" s="3"/>
      <c r="T317" s="3" t="s">
        <v>76</v>
      </c>
      <c r="V317" s="3"/>
      <c r="W317" s="3"/>
      <c r="X317" s="3"/>
      <c r="Y317" s="3"/>
      <c r="AA317" s="1362" t="s">
        <v>2686</v>
      </c>
      <c r="AB317" s="1362"/>
      <c r="AC317" s="1362"/>
      <c r="AD317" s="1362"/>
      <c r="AE317" s="1362"/>
      <c r="AF317" s="1362"/>
      <c r="AG317" s="1360"/>
      <c r="AH317" s="1360"/>
      <c r="AI317" s="1360"/>
      <c r="AJ317" s="1360"/>
      <c r="AK317" s="1360"/>
      <c r="BN317" s="34"/>
    </row>
    <row r="318" spans="2:66" ht="12.95" customHeight="1">
      <c r="BN318" s="34"/>
    </row>
    <row r="319" spans="2:66" ht="12.95" customHeight="1">
      <c r="B319" s="4" t="s">
        <v>921</v>
      </c>
      <c r="C319" s="3"/>
      <c r="D319" s="3"/>
      <c r="E319" s="3"/>
      <c r="F319" s="3"/>
      <c r="H319" s="1360" t="s">
        <v>599</v>
      </c>
      <c r="I319" s="1360"/>
      <c r="J319" s="1360"/>
      <c r="K319" s="1360"/>
      <c r="L319" s="1360"/>
      <c r="M319" s="1360"/>
      <c r="N319" s="1360"/>
      <c r="O319" s="1360"/>
      <c r="P319" s="1360"/>
      <c r="Q319" s="1360"/>
      <c r="R319" s="1360"/>
      <c r="T319" s="3" t="s">
        <v>366</v>
      </c>
      <c r="V319" s="3"/>
      <c r="W319" s="3"/>
      <c r="X319" s="3"/>
      <c r="Y319" s="3"/>
      <c r="AA319" s="1360" t="s">
        <v>2687</v>
      </c>
      <c r="AB319" s="1360"/>
      <c r="AC319" s="1360"/>
      <c r="AD319" s="1360"/>
      <c r="AE319" s="1360"/>
      <c r="AF319" s="1360"/>
      <c r="AG319" s="1360"/>
      <c r="AH319" s="1360"/>
      <c r="AI319" s="1360"/>
      <c r="AJ319" s="1360"/>
      <c r="AK319" s="1360"/>
      <c r="BN319" s="34"/>
    </row>
    <row r="320" spans="2:66" ht="12.95" customHeight="1">
      <c r="B320" s="3" t="s">
        <v>479</v>
      </c>
      <c r="C320" s="3"/>
      <c r="D320" s="3"/>
      <c r="E320" s="3"/>
      <c r="F320" s="3"/>
      <c r="H320" s="1362"/>
      <c r="I320" s="1362"/>
      <c r="J320" s="1362"/>
      <c r="K320" s="1362"/>
      <c r="L320" s="1362"/>
      <c r="M320" s="1362"/>
      <c r="N320" s="1362"/>
      <c r="O320" s="1362"/>
      <c r="P320" s="1362"/>
      <c r="Q320" s="1362"/>
      <c r="R320" s="1362"/>
      <c r="T320" s="3" t="s">
        <v>479</v>
      </c>
      <c r="V320" s="3"/>
      <c r="W320" s="3"/>
      <c r="X320" s="3"/>
      <c r="Y320" s="3"/>
      <c r="AA320" s="1362" t="s">
        <v>2688</v>
      </c>
      <c r="AB320" s="1362"/>
      <c r="AC320" s="1362"/>
      <c r="AD320" s="1362"/>
      <c r="AE320" s="1362"/>
      <c r="AF320" s="1362"/>
      <c r="AG320" s="1362"/>
      <c r="AH320" s="1362"/>
      <c r="AI320" s="1362"/>
      <c r="AJ320" s="1362"/>
      <c r="AK320" s="1362"/>
      <c r="BN320" s="34"/>
    </row>
    <row r="321" spans="2:66" ht="12.95" customHeight="1">
      <c r="B321" s="3" t="s">
        <v>480</v>
      </c>
      <c r="C321" s="3"/>
      <c r="D321" s="3"/>
      <c r="E321" s="3"/>
      <c r="F321" s="3"/>
      <c r="H321" s="1362"/>
      <c r="I321" s="1362"/>
      <c r="J321" s="1362"/>
      <c r="K321" s="1362"/>
      <c r="L321" s="1362"/>
      <c r="M321" s="1362"/>
      <c r="N321" s="1362"/>
      <c r="O321" s="1362"/>
      <c r="P321" s="1362"/>
      <c r="Q321" s="1362"/>
      <c r="R321" s="1362"/>
      <c r="T321" s="3" t="s">
        <v>75</v>
      </c>
      <c r="V321" s="3"/>
      <c r="W321" s="3"/>
      <c r="X321" s="3"/>
      <c r="Y321" s="3"/>
      <c r="AA321" s="1362" t="s">
        <v>2689</v>
      </c>
      <c r="AB321" s="1362"/>
      <c r="AC321" s="1362"/>
      <c r="AD321" s="1362"/>
      <c r="AE321" s="1362"/>
      <c r="AF321" s="1362"/>
      <c r="AG321" s="1362"/>
      <c r="AH321" s="1362"/>
      <c r="AI321" s="1362"/>
      <c r="AJ321" s="1362"/>
      <c r="AK321" s="1362"/>
      <c r="BN321" s="34"/>
    </row>
    <row r="322" spans="2:66" ht="12.95" customHeight="1">
      <c r="B322" s="3" t="s">
        <v>87</v>
      </c>
      <c r="C322" s="3"/>
      <c r="D322" s="3"/>
      <c r="E322" s="3"/>
      <c r="F322" s="3"/>
      <c r="H322" s="1362"/>
      <c r="I322" s="1362"/>
      <c r="J322" s="1362"/>
      <c r="K322" s="1362"/>
      <c r="L322" s="1362"/>
      <c r="M322" s="1362"/>
      <c r="N322" s="1362"/>
      <c r="O322" s="1362"/>
      <c r="P322" s="1362"/>
      <c r="Q322" s="1362"/>
      <c r="R322" s="1362"/>
      <c r="T322" s="3" t="s">
        <v>87</v>
      </c>
      <c r="V322" s="3"/>
      <c r="W322" s="3"/>
      <c r="X322" s="3"/>
      <c r="Y322" s="3"/>
      <c r="AA322" s="1362" t="s">
        <v>2690</v>
      </c>
      <c r="AB322" s="1362"/>
      <c r="AC322" s="1362"/>
      <c r="AD322" s="1362"/>
      <c r="AE322" s="1362"/>
      <c r="AF322" s="1362"/>
      <c r="AG322" s="1362"/>
      <c r="AH322" s="1362"/>
      <c r="AI322" s="1362"/>
      <c r="AJ322" s="1362"/>
      <c r="AK322" s="1362"/>
      <c r="BN322" s="34"/>
    </row>
    <row r="323" spans="2:66" ht="12.95" customHeight="1">
      <c r="B323" s="3" t="s">
        <v>88</v>
      </c>
      <c r="C323" s="3"/>
      <c r="D323" s="3"/>
      <c r="E323" s="3"/>
      <c r="F323" s="3"/>
      <c r="G323" s="3"/>
      <c r="H323" s="1515"/>
      <c r="I323" s="1515"/>
      <c r="J323" s="1515"/>
      <c r="K323" s="1515"/>
      <c r="L323" s="1515"/>
      <c r="M323" s="1515"/>
      <c r="N323" s="4" t="s">
        <v>206</v>
      </c>
      <c r="O323" s="4"/>
      <c r="P323" s="1483"/>
      <c r="Q323" s="1483"/>
      <c r="R323" s="1483"/>
      <c r="S323" s="3"/>
      <c r="T323" s="3" t="s">
        <v>88</v>
      </c>
      <c r="V323" s="3"/>
      <c r="W323" s="3"/>
      <c r="X323" s="3"/>
      <c r="Y323" s="3"/>
      <c r="AA323" s="1515" t="s">
        <v>2691</v>
      </c>
      <c r="AB323" s="1515"/>
      <c r="AC323" s="1515"/>
      <c r="AD323" s="1515"/>
      <c r="AE323" s="1515"/>
      <c r="AF323" s="1515"/>
      <c r="AG323" s="4" t="s">
        <v>206</v>
      </c>
      <c r="AH323" s="4"/>
      <c r="AI323" s="1483"/>
      <c r="AJ323" s="1483"/>
      <c r="AK323" s="1483"/>
    </row>
    <row r="324" spans="2:66" ht="12.95" customHeight="1">
      <c r="B324" s="3" t="s">
        <v>89</v>
      </c>
      <c r="C324" s="3"/>
      <c r="D324" s="3"/>
      <c r="E324" s="3"/>
      <c r="F324" s="3"/>
      <c r="G324" s="3"/>
      <c r="H324" s="1378"/>
      <c r="I324" s="1378"/>
      <c r="J324" s="1378"/>
      <c r="K324" s="1378"/>
      <c r="L324" s="1378"/>
      <c r="M324" s="1378"/>
      <c r="N324" s="4"/>
      <c r="O324" s="4"/>
      <c r="P324" s="35"/>
      <c r="Q324" s="35"/>
      <c r="R324" s="35"/>
      <c r="S324" s="3"/>
      <c r="T324" s="3" t="s">
        <v>89</v>
      </c>
      <c r="V324" s="3"/>
      <c r="W324" s="3"/>
      <c r="X324" s="3"/>
      <c r="Y324" s="3"/>
      <c r="AA324" s="1378"/>
      <c r="AB324" s="1378"/>
      <c r="AC324" s="1378"/>
      <c r="AD324" s="1378"/>
      <c r="AE324" s="1378"/>
      <c r="AF324" s="1378"/>
      <c r="AG324" s="4"/>
      <c r="AH324" s="4"/>
      <c r="AI324" s="35"/>
      <c r="AJ324" s="35"/>
      <c r="AK324" s="35"/>
    </row>
    <row r="325" spans="2:66" ht="12.95" customHeight="1">
      <c r="B325" s="3" t="s">
        <v>76</v>
      </c>
      <c r="C325" s="3"/>
      <c r="D325" s="3"/>
      <c r="E325" s="3"/>
      <c r="F325" s="3"/>
      <c r="G325" s="3"/>
      <c r="H325" s="1362"/>
      <c r="I325" s="1362"/>
      <c r="J325" s="1362"/>
      <c r="K325" s="1362"/>
      <c r="L325" s="1362"/>
      <c r="M325" s="1362"/>
      <c r="N325" s="1360"/>
      <c r="O325" s="1360"/>
      <c r="P325" s="1360"/>
      <c r="Q325" s="1360"/>
      <c r="R325" s="1360"/>
      <c r="S325" s="3"/>
      <c r="T325" s="3" t="s">
        <v>76</v>
      </c>
      <c r="V325" s="3"/>
      <c r="W325" s="3"/>
      <c r="X325" s="3"/>
      <c r="Y325" s="3"/>
      <c r="AA325" s="1362" t="s">
        <v>2692</v>
      </c>
      <c r="AB325" s="1362"/>
      <c r="AC325" s="1362"/>
      <c r="AD325" s="1362"/>
      <c r="AE325" s="1362"/>
      <c r="AF325" s="1362"/>
      <c r="AG325" s="1360"/>
      <c r="AH325" s="1360"/>
      <c r="AI325" s="1360"/>
      <c r="AJ325" s="1360"/>
      <c r="AK325" s="136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60" t="s">
        <v>599</v>
      </c>
      <c r="I327" s="1360"/>
      <c r="J327" s="1360"/>
      <c r="K327" s="1360"/>
      <c r="L327" s="1360"/>
      <c r="M327" s="1360"/>
      <c r="N327" s="1360"/>
      <c r="O327" s="1360"/>
      <c r="P327" s="1360"/>
      <c r="Q327" s="1360"/>
      <c r="R327" s="1360"/>
      <c r="T327" s="3" t="s">
        <v>368</v>
      </c>
      <c r="V327" s="3"/>
      <c r="W327" s="3"/>
      <c r="X327" s="3"/>
      <c r="Y327" s="3"/>
      <c r="AA327" s="1360" t="s">
        <v>599</v>
      </c>
      <c r="AB327" s="1360"/>
      <c r="AC327" s="1360"/>
      <c r="AD327" s="1360"/>
      <c r="AE327" s="1360"/>
      <c r="AF327" s="1360"/>
      <c r="AG327" s="1360"/>
      <c r="AH327" s="1360"/>
      <c r="AI327" s="1360"/>
      <c r="AJ327" s="1360"/>
      <c r="AK327" s="1360"/>
    </row>
    <row r="328" spans="2:66" ht="12.95" customHeight="1">
      <c r="B328" s="3" t="s">
        <v>479</v>
      </c>
      <c r="C328" s="3"/>
      <c r="D328" s="3"/>
      <c r="E328" s="3"/>
      <c r="F328" s="3"/>
      <c r="H328" s="1362"/>
      <c r="I328" s="1362"/>
      <c r="J328" s="1362"/>
      <c r="K328" s="1362"/>
      <c r="L328" s="1362"/>
      <c r="M328" s="1362"/>
      <c r="N328" s="1362"/>
      <c r="O328" s="1362"/>
      <c r="P328" s="1362"/>
      <c r="Q328" s="1362"/>
      <c r="R328" s="1362"/>
      <c r="T328" s="3" t="s">
        <v>479</v>
      </c>
      <c r="V328" s="3"/>
      <c r="W328" s="3"/>
      <c r="X328" s="3"/>
      <c r="Y328" s="3"/>
      <c r="AA328" s="1362"/>
      <c r="AB328" s="1362"/>
      <c r="AC328" s="1362"/>
      <c r="AD328" s="1362"/>
      <c r="AE328" s="1362"/>
      <c r="AF328" s="1362"/>
      <c r="AG328" s="1362"/>
      <c r="AH328" s="1362"/>
      <c r="AI328" s="1362"/>
      <c r="AJ328" s="1362"/>
      <c r="AK328" s="1362"/>
    </row>
    <row r="329" spans="2:66" ht="12.95" customHeight="1">
      <c r="B329" s="3" t="s">
        <v>480</v>
      </c>
      <c r="C329" s="3"/>
      <c r="D329" s="3"/>
      <c r="E329" s="3"/>
      <c r="F329" s="3"/>
      <c r="H329" s="1362"/>
      <c r="I329" s="1362"/>
      <c r="J329" s="1362"/>
      <c r="K329" s="1362"/>
      <c r="L329" s="1362"/>
      <c r="M329" s="1362"/>
      <c r="N329" s="1362"/>
      <c r="O329" s="1362"/>
      <c r="P329" s="1362"/>
      <c r="Q329" s="1362"/>
      <c r="R329" s="1362"/>
      <c r="T329" s="3" t="s">
        <v>75</v>
      </c>
      <c r="V329" s="3"/>
      <c r="W329" s="3"/>
      <c r="X329" s="3"/>
      <c r="Y329" s="3"/>
      <c r="AA329" s="1362"/>
      <c r="AB329" s="1362"/>
      <c r="AC329" s="1362"/>
      <c r="AD329" s="1362"/>
      <c r="AE329" s="1362"/>
      <c r="AF329" s="1362"/>
      <c r="AG329" s="1362"/>
      <c r="AH329" s="1362"/>
      <c r="AI329" s="1362"/>
      <c r="AJ329" s="1362"/>
      <c r="AK329" s="1362"/>
    </row>
    <row r="330" spans="2:66" ht="12.95" customHeight="1">
      <c r="B330" s="3" t="s">
        <v>87</v>
      </c>
      <c r="C330" s="3"/>
      <c r="D330" s="3"/>
      <c r="E330" s="3"/>
      <c r="F330" s="3"/>
      <c r="H330" s="1362"/>
      <c r="I330" s="1362"/>
      <c r="J330" s="1362"/>
      <c r="K330" s="1362"/>
      <c r="L330" s="1362"/>
      <c r="M330" s="1362"/>
      <c r="N330" s="1362"/>
      <c r="O330" s="1362"/>
      <c r="P330" s="1362"/>
      <c r="Q330" s="1362"/>
      <c r="R330" s="1362"/>
      <c r="T330" s="3" t="s">
        <v>87</v>
      </c>
      <c r="V330" s="3"/>
      <c r="W330" s="3"/>
      <c r="X330" s="3"/>
      <c r="Y330" s="3"/>
      <c r="AA330" s="1362"/>
      <c r="AB330" s="1362"/>
      <c r="AC330" s="1362"/>
      <c r="AD330" s="1362"/>
      <c r="AE330" s="1362"/>
      <c r="AF330" s="1362"/>
      <c r="AG330" s="1362"/>
      <c r="AH330" s="1362"/>
      <c r="AI330" s="1362"/>
      <c r="AJ330" s="1362"/>
      <c r="AK330" s="1362"/>
    </row>
    <row r="331" spans="2:66" ht="12.95" customHeight="1">
      <c r="B331" s="3" t="s">
        <v>88</v>
      </c>
      <c r="C331" s="3"/>
      <c r="D331" s="3"/>
      <c r="E331" s="3"/>
      <c r="F331" s="3"/>
      <c r="G331" s="3"/>
      <c r="H331" s="1515"/>
      <c r="I331" s="1515"/>
      <c r="J331" s="1515"/>
      <c r="K331" s="1515"/>
      <c r="L331" s="1515"/>
      <c r="M331" s="1515"/>
      <c r="N331" s="4" t="s">
        <v>206</v>
      </c>
      <c r="O331" s="4"/>
      <c r="P331" s="1483"/>
      <c r="Q331" s="1483"/>
      <c r="R331" s="1483"/>
      <c r="S331" s="3"/>
      <c r="T331" s="3" t="s">
        <v>88</v>
      </c>
      <c r="V331" s="3"/>
      <c r="W331" s="3"/>
      <c r="X331" s="3"/>
      <c r="Y331" s="3"/>
      <c r="AA331" s="1515"/>
      <c r="AB331" s="1515"/>
      <c r="AC331" s="1515"/>
      <c r="AD331" s="1515"/>
      <c r="AE331" s="1515"/>
      <c r="AF331" s="1515"/>
      <c r="AG331" s="4" t="s">
        <v>206</v>
      </c>
      <c r="AH331" s="4"/>
      <c r="AI331" s="1483"/>
      <c r="AJ331" s="1483"/>
      <c r="AK331" s="1483"/>
    </row>
    <row r="332" spans="2:66" ht="12.95" customHeight="1">
      <c r="B332" s="3" t="s">
        <v>89</v>
      </c>
      <c r="C332" s="3"/>
      <c r="D332" s="3"/>
      <c r="E332" s="3"/>
      <c r="F332" s="3"/>
      <c r="G332" s="3"/>
      <c r="H332" s="1378"/>
      <c r="I332" s="1378"/>
      <c r="J332" s="1378"/>
      <c r="K332" s="1378"/>
      <c r="L332" s="1378"/>
      <c r="M332" s="1378"/>
      <c r="N332" s="4"/>
      <c r="O332" s="4"/>
      <c r="P332" s="35"/>
      <c r="Q332" s="35"/>
      <c r="R332" s="35"/>
      <c r="S332" s="3"/>
      <c r="T332" s="3" t="s">
        <v>89</v>
      </c>
      <c r="V332" s="3"/>
      <c r="W332" s="3"/>
      <c r="X332" s="3"/>
      <c r="Y332" s="3"/>
      <c r="AA332" s="1378"/>
      <c r="AB332" s="1378"/>
      <c r="AC332" s="1378"/>
      <c r="AD332" s="1378"/>
      <c r="AE332" s="1378"/>
      <c r="AF332" s="1378"/>
      <c r="AG332" s="4"/>
      <c r="AH332" s="4"/>
      <c r="AI332" s="35"/>
      <c r="AJ332" s="35"/>
      <c r="AK332" s="35"/>
    </row>
    <row r="333" spans="2:66" ht="12.95" customHeight="1">
      <c r="B333" s="3" t="s">
        <v>76</v>
      </c>
      <c r="C333" s="3"/>
      <c r="D333" s="3"/>
      <c r="E333" s="3"/>
      <c r="F333" s="3"/>
      <c r="G333" s="3"/>
      <c r="H333" s="1362"/>
      <c r="I333" s="1362"/>
      <c r="J333" s="1362"/>
      <c r="K333" s="1362"/>
      <c r="L333" s="1362"/>
      <c r="M333" s="1362"/>
      <c r="N333" s="1360"/>
      <c r="O333" s="1360"/>
      <c r="P333" s="1360"/>
      <c r="Q333" s="1360"/>
      <c r="R333" s="1360"/>
      <c r="S333" s="3"/>
      <c r="T333" s="3" t="s">
        <v>76</v>
      </c>
      <c r="V333" s="3"/>
      <c r="W333" s="3"/>
      <c r="X333" s="3"/>
      <c r="Y333" s="3"/>
      <c r="AA333" s="1362"/>
      <c r="AB333" s="1362"/>
      <c r="AC333" s="1362"/>
      <c r="AD333" s="1362"/>
      <c r="AE333" s="1362"/>
      <c r="AF333" s="1362"/>
      <c r="AG333" s="1360"/>
      <c r="AH333" s="1360"/>
      <c r="AI333" s="1360"/>
      <c r="AJ333" s="1360"/>
      <c r="AK333" s="136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60" t="s">
        <v>2693</v>
      </c>
      <c r="I335" s="1360"/>
      <c r="J335" s="1360"/>
      <c r="K335" s="1360"/>
      <c r="L335" s="1360"/>
      <c r="M335" s="1360"/>
      <c r="N335" s="1360"/>
      <c r="O335" s="1360"/>
      <c r="P335" s="1360"/>
      <c r="Q335" s="1360"/>
      <c r="R335" s="1360"/>
      <c r="T335" s="218" t="s">
        <v>897</v>
      </c>
      <c r="V335" s="3"/>
      <c r="W335" s="3"/>
      <c r="X335" s="3"/>
      <c r="Y335" s="3"/>
      <c r="AA335" s="1360" t="s">
        <v>2767</v>
      </c>
      <c r="AB335" s="1360"/>
      <c r="AC335" s="1360"/>
      <c r="AD335" s="1360"/>
      <c r="AE335" s="1360"/>
      <c r="AF335" s="1360"/>
      <c r="AG335" s="1360"/>
      <c r="AH335" s="1360"/>
      <c r="AI335" s="1360"/>
      <c r="AJ335" s="1360"/>
      <c r="AK335" s="1360"/>
    </row>
    <row r="336" spans="2:66" ht="12.95" customHeight="1">
      <c r="B336" s="3" t="s">
        <v>479</v>
      </c>
      <c r="C336" s="3"/>
      <c r="D336" s="3"/>
      <c r="E336" s="3"/>
      <c r="F336" s="3"/>
      <c r="H336" s="1362" t="s">
        <v>2694</v>
      </c>
      <c r="I336" s="1362"/>
      <c r="J336" s="1362"/>
      <c r="K336" s="1362"/>
      <c r="L336" s="1362"/>
      <c r="M336" s="1362"/>
      <c r="N336" s="1362"/>
      <c r="O336" s="1362"/>
      <c r="P336" s="1362"/>
      <c r="Q336" s="1362"/>
      <c r="R336" s="1362"/>
      <c r="T336" s="3" t="s">
        <v>479</v>
      </c>
      <c r="V336" s="3"/>
      <c r="W336" s="3"/>
      <c r="X336" s="3"/>
      <c r="Y336" s="3"/>
      <c r="AA336" s="1362" t="s">
        <v>2773</v>
      </c>
      <c r="AB336" s="1362"/>
      <c r="AC336" s="1362"/>
      <c r="AD336" s="1362"/>
      <c r="AE336" s="1362"/>
      <c r="AF336" s="1362"/>
      <c r="AG336" s="1362"/>
      <c r="AH336" s="1362"/>
      <c r="AI336" s="1362"/>
      <c r="AJ336" s="1362"/>
      <c r="AK336" s="1362"/>
    </row>
    <row r="337" spans="1:66" ht="12.95" customHeight="1">
      <c r="B337" s="3" t="s">
        <v>75</v>
      </c>
      <c r="C337" s="3"/>
      <c r="D337" s="3"/>
      <c r="E337" s="3"/>
      <c r="F337" s="3"/>
      <c r="H337" s="1362" t="s">
        <v>2695</v>
      </c>
      <c r="I337" s="1362"/>
      <c r="J337" s="1362"/>
      <c r="K337" s="1362"/>
      <c r="L337" s="1362"/>
      <c r="M337" s="1362"/>
      <c r="N337" s="1362"/>
      <c r="O337" s="1362"/>
      <c r="P337" s="1362"/>
      <c r="Q337" s="1362"/>
      <c r="R337" s="1362"/>
      <c r="T337" s="3" t="s">
        <v>75</v>
      </c>
      <c r="V337" s="3"/>
      <c r="W337" s="3"/>
      <c r="X337" s="3"/>
      <c r="Y337" s="3"/>
      <c r="AA337" s="1362" t="s">
        <v>2772</v>
      </c>
      <c r="AB337" s="1362"/>
      <c r="AC337" s="1362"/>
      <c r="AD337" s="1362"/>
      <c r="AE337" s="1362"/>
      <c r="AF337" s="1362"/>
      <c r="AG337" s="1362"/>
      <c r="AH337" s="1362"/>
      <c r="AI337" s="1362"/>
      <c r="AJ337" s="1362"/>
      <c r="AK337" s="1362"/>
    </row>
    <row r="338" spans="1:66" ht="12.95" customHeight="1">
      <c r="B338" s="3" t="s">
        <v>87</v>
      </c>
      <c r="C338" s="3"/>
      <c r="D338" s="3"/>
      <c r="E338" s="3"/>
      <c r="F338" s="3"/>
      <c r="G338" s="3"/>
      <c r="H338" s="1362" t="s">
        <v>2696</v>
      </c>
      <c r="I338" s="1362"/>
      <c r="J338" s="1362"/>
      <c r="K338" s="1362"/>
      <c r="L338" s="1362"/>
      <c r="M338" s="1362"/>
      <c r="N338" s="1362"/>
      <c r="O338" s="1362"/>
      <c r="P338" s="1362"/>
      <c r="Q338" s="1362"/>
      <c r="R338" s="1362"/>
      <c r="T338" s="3" t="s">
        <v>87</v>
      </c>
      <c r="V338" s="3"/>
      <c r="W338" s="3"/>
      <c r="X338" s="3"/>
      <c r="Y338" s="3"/>
      <c r="AA338" s="1362" t="s">
        <v>2771</v>
      </c>
      <c r="AB338" s="1362"/>
      <c r="AC338" s="1362"/>
      <c r="AD338" s="1362"/>
      <c r="AE338" s="1362"/>
      <c r="AF338" s="1362"/>
      <c r="AG338" s="1362"/>
      <c r="AH338" s="1362"/>
      <c r="AI338" s="1362"/>
      <c r="AJ338" s="1362"/>
      <c r="AK338" s="1362"/>
    </row>
    <row r="339" spans="1:66" ht="12.95" customHeight="1">
      <c r="B339" s="3" t="s">
        <v>88</v>
      </c>
      <c r="C339" s="3"/>
      <c r="D339" s="3"/>
      <c r="E339" s="3"/>
      <c r="F339" s="3"/>
      <c r="G339" s="3"/>
      <c r="H339" s="1515" t="s">
        <v>2698</v>
      </c>
      <c r="I339" s="1515"/>
      <c r="J339" s="1515"/>
      <c r="K339" s="1515"/>
      <c r="L339" s="1515"/>
      <c r="M339" s="1515"/>
      <c r="N339" s="4" t="s">
        <v>206</v>
      </c>
      <c r="O339" s="4"/>
      <c r="P339" s="1483"/>
      <c r="Q339" s="1483"/>
      <c r="R339" s="1483"/>
      <c r="S339" s="3"/>
      <c r="T339" s="3" t="s">
        <v>88</v>
      </c>
      <c r="V339" s="3"/>
      <c r="W339" s="3"/>
      <c r="X339" s="3"/>
      <c r="Y339" s="3"/>
      <c r="AA339" s="1557" t="s">
        <v>2770</v>
      </c>
      <c r="AB339" s="1515"/>
      <c r="AC339" s="1515"/>
      <c r="AD339" s="1515"/>
      <c r="AE339" s="1515"/>
      <c r="AF339" s="1515"/>
      <c r="AG339" s="4" t="s">
        <v>206</v>
      </c>
      <c r="AH339" s="4"/>
      <c r="AI339" s="1483"/>
      <c r="AJ339" s="1483"/>
      <c r="AK339" s="1483"/>
    </row>
    <row r="340" spans="1:66" ht="12.95" customHeight="1">
      <c r="B340" s="3" t="s">
        <v>89</v>
      </c>
      <c r="C340" s="3"/>
      <c r="D340" s="3"/>
      <c r="E340" s="3"/>
      <c r="F340" s="3"/>
      <c r="G340" s="3"/>
      <c r="H340" s="1378"/>
      <c r="I340" s="1378"/>
      <c r="J340" s="1378"/>
      <c r="K340" s="1378"/>
      <c r="L340" s="1378"/>
      <c r="M340" s="1378"/>
      <c r="N340" s="4"/>
      <c r="O340" s="4"/>
      <c r="P340" s="35"/>
      <c r="Q340" s="35"/>
      <c r="R340" s="35"/>
      <c r="S340" s="3"/>
      <c r="T340" s="3" t="s">
        <v>89</v>
      </c>
      <c r="V340" s="3"/>
      <c r="W340" s="3"/>
      <c r="X340" s="3"/>
      <c r="Y340" s="3"/>
      <c r="AA340" s="1361" t="s">
        <v>2769</v>
      </c>
      <c r="AB340" s="1378"/>
      <c r="AC340" s="1378"/>
      <c r="AD340" s="1378"/>
      <c r="AE340" s="1378"/>
      <c r="AF340" s="1378"/>
      <c r="AG340" s="4"/>
      <c r="AH340" s="4"/>
      <c r="AI340" s="35"/>
      <c r="AJ340" s="35"/>
      <c r="AK340" s="35"/>
    </row>
    <row r="341" spans="1:66" ht="12.95" customHeight="1">
      <c r="B341" s="3" t="s">
        <v>76</v>
      </c>
      <c r="C341" s="3"/>
      <c r="D341" s="3"/>
      <c r="E341" s="3"/>
      <c r="F341" s="3"/>
      <c r="G341" s="3"/>
      <c r="H341" s="1362" t="s">
        <v>2697</v>
      </c>
      <c r="I341" s="1362"/>
      <c r="J341" s="1362"/>
      <c r="K341" s="1362"/>
      <c r="L341" s="1362"/>
      <c r="M341" s="1362"/>
      <c r="N341" s="1360"/>
      <c r="O341" s="1360"/>
      <c r="P341" s="1360"/>
      <c r="Q341" s="1360"/>
      <c r="R341" s="1360"/>
      <c r="S341" s="3"/>
      <c r="T341" s="3" t="s">
        <v>76</v>
      </c>
      <c r="V341" s="3"/>
      <c r="W341" s="3"/>
      <c r="X341" s="3"/>
      <c r="Y341" s="3"/>
      <c r="AA341" s="1362" t="s">
        <v>2768</v>
      </c>
      <c r="AB341" s="1362"/>
      <c r="AC341" s="1362"/>
      <c r="AD341" s="1362"/>
      <c r="AE341" s="1362"/>
      <c r="AF341" s="1362"/>
      <c r="AG341" s="1360"/>
      <c r="AH341" s="1360"/>
      <c r="AI341" s="1360"/>
      <c r="AJ341" s="1360"/>
      <c r="AK341" s="136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898</v>
      </c>
      <c r="P343" s="1360" t="s">
        <v>599</v>
      </c>
      <c r="Q343" s="1360"/>
      <c r="R343" s="1360"/>
      <c r="S343" s="1360"/>
      <c r="T343" s="1360"/>
      <c r="U343" s="1360"/>
      <c r="V343" s="1360"/>
      <c r="W343" s="1360"/>
      <c r="X343" s="1360"/>
      <c r="Y343" s="1360"/>
      <c r="Z343" s="1360"/>
      <c r="AA343" s="1360"/>
      <c r="AB343" s="1360"/>
      <c r="AC343" s="1360"/>
      <c r="AD343" s="1360"/>
      <c r="AE343" s="1360"/>
      <c r="BN343" t="s">
        <v>677</v>
      </c>
    </row>
    <row r="344" spans="1:66" ht="12.95" customHeight="1">
      <c r="B344" s="4"/>
      <c r="C344" s="4"/>
      <c r="D344" s="4"/>
      <c r="E344" s="4"/>
      <c r="F344" s="4"/>
      <c r="I344" s="4" t="s">
        <v>479</v>
      </c>
      <c r="P344" s="1362"/>
      <c r="Q344" s="1362"/>
      <c r="R344" s="1362"/>
      <c r="S344" s="1362"/>
      <c r="T344" s="1362"/>
      <c r="U344" s="1362"/>
      <c r="V344" s="1362"/>
      <c r="W344" s="1362"/>
      <c r="X344" s="1362"/>
      <c r="Y344" s="1362"/>
      <c r="Z344" s="1362"/>
      <c r="AA344" s="1362"/>
      <c r="AB344" s="1362"/>
      <c r="AC344" s="1362"/>
      <c r="AD344" s="1362"/>
      <c r="AE344" s="1362"/>
      <c r="BN344" t="s">
        <v>553</v>
      </c>
    </row>
    <row r="345" spans="1:66" ht="12.95" customHeight="1">
      <c r="B345" s="4"/>
      <c r="C345" s="4"/>
      <c r="D345" s="4"/>
      <c r="E345" s="4"/>
      <c r="F345" s="4"/>
      <c r="I345" s="4" t="s">
        <v>75</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I346" s="4" t="s">
        <v>87</v>
      </c>
      <c r="P346" s="1362"/>
      <c r="Q346" s="1362"/>
      <c r="R346" s="1362"/>
      <c r="S346" s="1362"/>
      <c r="T346" s="1362"/>
      <c r="U346" s="1362"/>
      <c r="V346" s="1362"/>
      <c r="W346" s="1362"/>
      <c r="X346" s="1362"/>
      <c r="Y346" s="1362"/>
      <c r="Z346" s="1362"/>
      <c r="AA346" s="1362"/>
      <c r="AB346" s="1362"/>
      <c r="AC346" s="1362"/>
      <c r="AD346" s="1362"/>
      <c r="AE346" s="1362"/>
    </row>
    <row r="347" spans="1:66" ht="12.95" customHeight="1">
      <c r="B347" s="4"/>
      <c r="C347" s="4"/>
      <c r="D347" s="4"/>
      <c r="E347" s="4"/>
      <c r="F347" s="4"/>
      <c r="G347" s="4"/>
      <c r="H347" s="324"/>
      <c r="I347" s="4" t="s">
        <v>88</v>
      </c>
      <c r="P347" s="1378"/>
      <c r="Q347" s="1378"/>
      <c r="R347" s="1378"/>
      <c r="S347" s="1378"/>
      <c r="T347" s="1378"/>
      <c r="U347" s="1378"/>
      <c r="V347" s="1378"/>
      <c r="W347" s="1378"/>
      <c r="X347" s="1378"/>
      <c r="Y347" s="1378"/>
      <c r="Z347" s="1378"/>
      <c r="AA347" s="4" t="s">
        <v>206</v>
      </c>
      <c r="AB347" s="4"/>
      <c r="AC347" s="1367"/>
      <c r="AD347" s="1367"/>
      <c r="AE347" s="1367"/>
      <c r="AF347" s="324"/>
      <c r="AG347" s="4"/>
      <c r="AH347" s="4"/>
      <c r="AI347" s="4"/>
      <c r="AJ347" s="4"/>
      <c r="AK347" s="4"/>
    </row>
    <row r="348" spans="1:66" ht="12.95" customHeight="1">
      <c r="B348" s="4"/>
      <c r="C348" s="4"/>
      <c r="D348" s="4"/>
      <c r="E348" s="4"/>
      <c r="F348" s="4"/>
      <c r="G348" s="4"/>
      <c r="H348" s="324"/>
      <c r="I348" s="4" t="s">
        <v>89</v>
      </c>
      <c r="P348" s="1378"/>
      <c r="Q348" s="1378"/>
      <c r="R348" s="1378"/>
      <c r="S348" s="1378"/>
      <c r="T348" s="1378"/>
      <c r="U348" s="1378"/>
      <c r="V348" s="1378"/>
      <c r="W348" s="1378"/>
      <c r="X348" s="1378"/>
      <c r="Y348" s="1378"/>
      <c r="Z348" s="1378"/>
      <c r="AF348" s="324"/>
      <c r="AG348" s="4"/>
      <c r="AH348" s="4"/>
      <c r="AI348" s="35"/>
      <c r="AJ348" s="35"/>
      <c r="AK348" s="35"/>
    </row>
    <row r="349" spans="1:66" ht="12.95" customHeight="1">
      <c r="B349" s="4"/>
      <c r="C349" s="4"/>
      <c r="D349" s="4"/>
      <c r="E349" s="4"/>
      <c r="F349" s="4"/>
      <c r="G349" s="4"/>
      <c r="I349" s="4" t="s">
        <v>76</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8"/>
      <c r="U350" s="8"/>
      <c r="V350" s="8"/>
      <c r="W350" s="8"/>
      <c r="X350" s="8"/>
      <c r="Y350" s="8"/>
      <c r="Z350" s="8"/>
      <c r="AU350" s="95"/>
      <c r="AV350" s="95"/>
      <c r="AW350" s="95"/>
      <c r="AX350" s="95"/>
      <c r="AY350" s="95"/>
    </row>
    <row r="351" spans="1:66" ht="12.95" customHeight="1">
      <c r="A351" s="1663" t="s">
        <v>550</v>
      </c>
      <c r="B351" s="1663"/>
      <c r="C351" s="1663"/>
      <c r="D351" s="1663"/>
      <c r="E351" s="1663"/>
      <c r="F351" s="1663"/>
      <c r="G351" s="1663"/>
      <c r="H351" s="1663"/>
      <c r="I351" s="1663"/>
      <c r="J351" s="1663"/>
      <c r="K351" s="1663"/>
      <c r="L351" s="1663"/>
      <c r="M351" s="1663"/>
      <c r="N351" s="1663"/>
      <c r="O351" s="1663"/>
      <c r="P351" s="1663"/>
      <c r="Q351" s="1663"/>
      <c r="R351" s="1663"/>
      <c r="S351" s="1663"/>
      <c r="T351" s="1663"/>
      <c r="U351" s="1663"/>
      <c r="V351" s="1663"/>
      <c r="W351" s="1663"/>
      <c r="X351" s="1663"/>
      <c r="Y351" s="1663"/>
      <c r="Z351" s="1663"/>
      <c r="AA351" s="1663"/>
      <c r="AB351" s="1663"/>
      <c r="AC351" s="1663"/>
      <c r="AD351" s="1663"/>
      <c r="AE351" s="1663"/>
      <c r="AF351" s="1663"/>
      <c r="AG351" s="1663"/>
      <c r="AH351" s="1663"/>
      <c r="AI351" s="1663"/>
      <c r="AJ351" s="1663"/>
      <c r="AK351" s="1663"/>
      <c r="AL351" s="1663"/>
      <c r="AM351" s="1663"/>
      <c r="AN351" s="1663"/>
      <c r="AO351" s="1663"/>
      <c r="AP351" s="1663"/>
      <c r="AQ351" s="1663"/>
      <c r="AR351" s="1663"/>
      <c r="AS351" s="1663"/>
      <c r="AT351" s="1663"/>
      <c r="AU351" s="95"/>
      <c r="AV351" s="95"/>
      <c r="AW351" s="95"/>
      <c r="AX351" s="95"/>
      <c r="AY351" s="95"/>
    </row>
    <row r="352" spans="1:66" ht="12.95" customHeight="1">
      <c r="A352" s="1663"/>
      <c r="B352" s="1663"/>
      <c r="C352" s="1663"/>
      <c r="D352" s="1663"/>
      <c r="E352" s="1663"/>
      <c r="F352" s="1663"/>
      <c r="G352" s="1663"/>
      <c r="H352" s="1663"/>
      <c r="I352" s="1663"/>
      <c r="J352" s="1663"/>
      <c r="K352" s="1663"/>
      <c r="L352" s="1663"/>
      <c r="M352" s="1663"/>
      <c r="N352" s="1663"/>
      <c r="O352" s="1663"/>
      <c r="P352" s="1663"/>
      <c r="Q352" s="1663"/>
      <c r="R352" s="1663"/>
      <c r="S352" s="1663"/>
      <c r="T352" s="1663"/>
      <c r="U352" s="1663"/>
      <c r="V352" s="1663"/>
      <c r="W352" s="1663"/>
      <c r="X352" s="1663"/>
      <c r="Y352" s="1663"/>
      <c r="Z352" s="1663"/>
      <c r="AA352" s="1663"/>
      <c r="AB352" s="1663"/>
      <c r="AC352" s="1663"/>
      <c r="AD352" s="1663"/>
      <c r="AE352" s="1663"/>
      <c r="AF352" s="1663"/>
      <c r="AG352" s="1663"/>
      <c r="AH352" s="1663"/>
      <c r="AI352" s="1663"/>
      <c r="AJ352" s="1663"/>
      <c r="AK352" s="1663"/>
      <c r="AL352" s="1663"/>
      <c r="AM352" s="1663"/>
      <c r="AN352" s="1663"/>
      <c r="AO352" s="1663"/>
      <c r="AP352" s="1663"/>
      <c r="AQ352" s="1663"/>
      <c r="AR352" s="1663"/>
      <c r="AS352" s="1663"/>
      <c r="AT352" s="16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2406</v>
      </c>
      <c r="M355" s="1366" t="s">
        <v>553</v>
      </c>
      <c r="N355" s="1366"/>
      <c r="P355" t="s">
        <v>1761</v>
      </c>
      <c r="AJ355" s="1366" t="s">
        <v>553</v>
      </c>
      <c r="AK355" s="1366"/>
    </row>
    <row r="356" spans="1:46" ht="12.95" customHeight="1">
      <c r="D356" s="3" t="s">
        <v>1750</v>
      </c>
      <c r="M356" s="1366" t="s">
        <v>599</v>
      </c>
      <c r="N356" s="1366"/>
      <c r="P356" s="3" t="s">
        <v>1903</v>
      </c>
      <c r="AJ356" s="1473">
        <v>0</v>
      </c>
      <c r="AK356" s="1473"/>
    </row>
    <row r="357" spans="1:46" ht="12.95" customHeight="1">
      <c r="D357" s="3" t="s">
        <v>713</v>
      </c>
      <c r="M357" s="1366" t="s">
        <v>599</v>
      </c>
      <c r="N357" s="1366"/>
      <c r="P357" t="s">
        <v>1760</v>
      </c>
      <c r="AJ357" s="1366" t="s">
        <v>599</v>
      </c>
      <c r="AK357" s="1366"/>
    </row>
    <row r="358" spans="1:46" ht="12.95" customHeight="1">
      <c r="D358" s="3" t="s">
        <v>714</v>
      </c>
      <c r="M358" s="1366" t="s">
        <v>599</v>
      </c>
      <c r="N358" s="136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66" t="s">
        <v>599</v>
      </c>
      <c r="O363" s="1366"/>
      <c r="P363" s="40"/>
      <c r="Q363" s="40"/>
      <c r="R363" s="40"/>
      <c r="S363" s="40"/>
      <c r="T363" s="40"/>
      <c r="U363" s="40"/>
      <c r="V363" s="40"/>
      <c r="W363" s="40"/>
      <c r="X363" s="40"/>
      <c r="Y363" s="40"/>
      <c r="Z363" s="40"/>
      <c r="AC363" s="40"/>
      <c r="AD363" s="40"/>
      <c r="AE363" s="40"/>
    </row>
    <row r="364" spans="1:46" ht="12.95" customHeight="1">
      <c r="E364" t="s">
        <v>370</v>
      </c>
      <c r="Y364" s="1366" t="s">
        <v>599</v>
      </c>
      <c r="Z364" s="1366"/>
    </row>
    <row r="365" spans="1:46" ht="12.95" customHeight="1">
      <c r="D365" s="4" t="s">
        <v>995</v>
      </c>
      <c r="Q365" s="1360"/>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66" t="s">
        <v>599</v>
      </c>
      <c r="K367" s="1366"/>
      <c r="L367" s="40"/>
      <c r="M367" s="40"/>
      <c r="N367" s="40"/>
      <c r="O367" s="40"/>
      <c r="P367" s="40"/>
      <c r="Q367" s="40"/>
      <c r="R367" s="40"/>
      <c r="S367" s="40"/>
      <c r="T367" s="40"/>
      <c r="U367" s="40"/>
      <c r="V367" s="40"/>
      <c r="W367" s="40"/>
      <c r="X367" s="40"/>
      <c r="Y367" s="40"/>
      <c r="Z367" s="40"/>
      <c r="AC367" s="40"/>
      <c r="AD367" s="40"/>
      <c r="AE367" s="40"/>
    </row>
    <row r="368" spans="1:46" ht="12.95" customHeight="1">
      <c r="E368" s="1525" t="s">
        <v>715</v>
      </c>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row>
    <row r="369" spans="1:34" ht="12.95" customHeight="1">
      <c r="E369" s="1525"/>
      <c r="F369" s="1525"/>
      <c r="G369" s="1525"/>
      <c r="H369" s="1525"/>
      <c r="I369" s="1525"/>
      <c r="J369" s="1525"/>
      <c r="K369" s="1525"/>
      <c r="L369" s="1525"/>
      <c r="M369" s="1525"/>
      <c r="N369" s="1525"/>
      <c r="O369" s="1525"/>
      <c r="P369" s="1525"/>
      <c r="Q369" s="1525"/>
      <c r="R369" s="1525"/>
      <c r="S369" s="1525"/>
      <c r="T369" s="1525"/>
      <c r="U369" s="1525"/>
      <c r="V369" s="1525"/>
      <c r="W369" s="1525"/>
      <c r="X369" s="1525"/>
      <c r="Y369" s="1525"/>
      <c r="Z369" s="1525"/>
      <c r="AA369" s="1525"/>
      <c r="AB369" s="1525"/>
      <c r="AC369" s="1525"/>
      <c r="AD369" s="1525"/>
      <c r="AE369" s="1525"/>
      <c r="AF369" s="1525"/>
      <c r="AG369" s="1525"/>
      <c r="AH369" s="1525"/>
    </row>
    <row r="370" spans="1:34" ht="12.95" customHeight="1">
      <c r="E370" s="4" t="s">
        <v>456</v>
      </c>
      <c r="F370" s="4"/>
      <c r="G370" s="4"/>
      <c r="H370" s="4"/>
      <c r="I370" s="4"/>
      <c r="J370" s="4"/>
      <c r="K370" s="4"/>
      <c r="L370" s="4"/>
      <c r="N370" s="1390"/>
      <c r="O370" s="1390"/>
      <c r="P370" s="1390"/>
      <c r="Q370" s="1390"/>
      <c r="R370" s="4"/>
      <c r="U370" s="4" t="s">
        <v>457</v>
      </c>
      <c r="V370" s="4"/>
      <c r="W370" s="4"/>
      <c r="X370" s="4"/>
      <c r="Y370" s="4"/>
      <c r="Z370" s="4"/>
      <c r="AA370" s="4"/>
      <c r="AB370" s="4"/>
      <c r="AC370" s="1390"/>
      <c r="AD370" s="1390"/>
      <c r="AE370" s="1390"/>
      <c r="AF370" s="1390"/>
    </row>
    <row r="371" spans="1:34" ht="12.95" customHeight="1">
      <c r="E371" s="4" t="s">
        <v>458</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13"/>
      <c r="O373" s="1513"/>
      <c r="P373" s="1513"/>
      <c r="Q373" s="1513"/>
      <c r="R373" s="1513"/>
      <c r="S373" s="1513"/>
      <c r="T373" s="1513"/>
      <c r="U373" s="1513"/>
      <c r="V373" s="1513"/>
      <c r="W373" s="1513"/>
      <c r="X373" s="1513"/>
      <c r="Y373" s="1513"/>
      <c r="Z373" s="1513"/>
      <c r="AA373" s="1513"/>
      <c r="AB373" s="1513"/>
      <c r="AC373" s="1513"/>
      <c r="AD373" s="1513"/>
      <c r="AE373" s="1513"/>
      <c r="AF373" s="1513"/>
    </row>
    <row r="374" spans="1:34" ht="12.95" customHeight="1">
      <c r="E374" s="4"/>
      <c r="F374" s="4"/>
      <c r="G374" s="4"/>
      <c r="H374" s="4"/>
      <c r="I374" s="4"/>
      <c r="J374" s="4"/>
      <c r="K374" s="4"/>
      <c r="L374" s="4"/>
      <c r="N374" s="1514"/>
      <c r="O374" s="1514"/>
      <c r="P374" s="1514"/>
      <c r="Q374" s="1514"/>
      <c r="R374" s="1514"/>
      <c r="S374" s="1514"/>
      <c r="T374" s="1514"/>
      <c r="U374" s="1514"/>
      <c r="V374" s="1514"/>
      <c r="W374" s="1514"/>
      <c r="X374" s="1514"/>
      <c r="Y374" s="1514"/>
      <c r="Z374" s="1514"/>
      <c r="AA374" s="1514"/>
      <c r="AB374" s="1514"/>
      <c r="AC374" s="1514"/>
      <c r="AD374" s="1514"/>
      <c r="AE374" s="1514"/>
      <c r="AF374" s="1514"/>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2390</v>
      </c>
      <c r="F377" s="4"/>
      <c r="G377" s="4"/>
      <c r="H377" s="4"/>
      <c r="I377" s="4"/>
      <c r="J377" s="4"/>
      <c r="K377" s="4"/>
      <c r="L377" s="4"/>
      <c r="N377" t="s">
        <v>2385</v>
      </c>
      <c r="R377" s="27" t="s">
        <v>305</v>
      </c>
      <c r="S377" s="1477"/>
      <c r="T377" s="1477"/>
      <c r="U377" s="1" t="s">
        <v>306</v>
      </c>
      <c r="V377" s="1477"/>
      <c r="W377" s="1477"/>
      <c r="Y377" t="s">
        <v>2385</v>
      </c>
      <c r="AC377" s="27" t="s">
        <v>305</v>
      </c>
      <c r="AD377" s="1477"/>
      <c r="AE377" s="1477"/>
      <c r="AF377" s="1" t="s">
        <v>306</v>
      </c>
      <c r="AG377" s="1477"/>
      <c r="AH377" s="1477"/>
    </row>
    <row r="378" spans="1:34" ht="12.95" customHeight="1">
      <c r="E378" s="4" t="s">
        <v>1009</v>
      </c>
      <c r="F378" s="4"/>
      <c r="G378" s="4"/>
      <c r="H378" s="4"/>
      <c r="I378" s="4"/>
      <c r="J378" s="4"/>
      <c r="K378" s="4"/>
      <c r="L378" s="4"/>
      <c r="N378" s="1477"/>
      <c r="O378" s="1477"/>
      <c r="P378" s="1477"/>
    </row>
    <row r="379" spans="1:34" ht="12.95" customHeight="1">
      <c r="E379" s="218" t="s">
        <v>2391</v>
      </c>
      <c r="F379" s="4"/>
      <c r="G379" s="4"/>
      <c r="H379" s="4"/>
      <c r="I379" s="4"/>
      <c r="J379" s="4"/>
      <c r="K379" s="4"/>
      <c r="L379" s="4"/>
      <c r="AG379" s="1482" t="s">
        <v>599</v>
      </c>
      <c r="AH379" s="1482"/>
    </row>
    <row r="380" spans="1:34" ht="12.95" customHeight="1">
      <c r="E380" s="4"/>
      <c r="F380" s="4"/>
      <c r="G380" s="4" t="s">
        <v>2392</v>
      </c>
      <c r="H380" s="4"/>
      <c r="I380" s="4"/>
      <c r="J380" s="4"/>
      <c r="K380" s="4"/>
      <c r="L380" s="4"/>
      <c r="AG380" s="1482" t="s">
        <v>599</v>
      </c>
      <c r="AH380" s="1482"/>
    </row>
    <row r="381" spans="1:34" ht="12.95" customHeight="1">
      <c r="E381" s="4"/>
      <c r="F381" s="4"/>
      <c r="G381" s="348" t="s">
        <v>1010</v>
      </c>
      <c r="H381" s="4"/>
      <c r="I381" s="4"/>
      <c r="J381" s="4"/>
      <c r="K381" s="4"/>
      <c r="L381" s="4"/>
      <c r="V381" s="1366" t="s">
        <v>599</v>
      </c>
      <c r="W381" s="1366"/>
      <c r="Y381" s="22" t="s">
        <v>997</v>
      </c>
    </row>
    <row r="382" spans="1:34" ht="12.95" customHeight="1">
      <c r="E382" s="4" t="s">
        <v>998</v>
      </c>
      <c r="F382" s="4"/>
      <c r="G382" s="4"/>
      <c r="H382" s="4"/>
      <c r="I382" s="4"/>
      <c r="J382" s="4"/>
      <c r="K382" s="4"/>
      <c r="L382" s="4"/>
      <c r="V382" s="1366" t="s">
        <v>599</v>
      </c>
      <c r="W382" s="1366"/>
      <c r="Y382" s="4" t="s">
        <v>999</v>
      </c>
    </row>
    <row r="383" spans="1:34" ht="12.95" customHeight="1"/>
    <row r="384" spans="1:34" ht="12.95" customHeight="1">
      <c r="A384" s="2" t="s">
        <v>78</v>
      </c>
      <c r="B384" s="2"/>
    </row>
    <row r="385" spans="4:36" ht="12.95" customHeight="1">
      <c r="D385" t="s">
        <v>428</v>
      </c>
      <c r="J385" s="1360" t="s">
        <v>2776</v>
      </c>
      <c r="K385" s="1360"/>
      <c r="L385" s="1360"/>
      <c r="M385" s="1360"/>
      <c r="N385" s="1360"/>
      <c r="O385" s="1360"/>
      <c r="P385" s="1360"/>
      <c r="Q385" s="1360"/>
      <c r="R385" s="1360"/>
      <c r="S385" s="1360"/>
      <c r="T385" s="1360"/>
      <c r="U385" s="1360"/>
      <c r="V385" s="8" t="s">
        <v>83</v>
      </c>
      <c r="W385" s="8"/>
      <c r="X385" s="8"/>
      <c r="Y385" s="8"/>
      <c r="Z385" s="8"/>
      <c r="AA385" s="8"/>
      <c r="AB385" s="8"/>
      <c r="AC385" s="1360" t="s">
        <v>2701</v>
      </c>
      <c r="AD385" s="1360"/>
      <c r="AE385" s="1360"/>
      <c r="AF385" s="1360"/>
      <c r="AG385" s="1360"/>
      <c r="AH385" s="1360"/>
      <c r="AI385" s="1360"/>
      <c r="AJ385" s="1360"/>
    </row>
    <row r="386" spans="4:36" ht="12.95" customHeight="1">
      <c r="D386" s="3" t="s">
        <v>1286</v>
      </c>
      <c r="J386" s="1362" t="s">
        <v>2777</v>
      </c>
      <c r="K386" s="1362"/>
      <c r="L386" s="1362"/>
      <c r="M386" s="1362"/>
      <c r="N386" s="1362"/>
      <c r="O386" s="1362"/>
      <c r="P386" s="1362"/>
      <c r="Q386" s="1362"/>
      <c r="R386" s="1362"/>
      <c r="S386" s="1362"/>
      <c r="T386" s="1362"/>
      <c r="U386" s="1362"/>
      <c r="V386" s="3" t="s">
        <v>1286</v>
      </c>
      <c r="W386" s="8"/>
      <c r="X386" s="8"/>
      <c r="Y386" s="8"/>
      <c r="Z386" s="8"/>
      <c r="AA386" s="8"/>
      <c r="AB386" s="8"/>
      <c r="AC386" s="1360" t="s">
        <v>2702</v>
      </c>
      <c r="AD386" s="1360"/>
      <c r="AE386" s="1360"/>
      <c r="AF386" s="1360"/>
      <c r="AG386" s="1360"/>
      <c r="AH386" s="1360"/>
      <c r="AI386" s="1360"/>
      <c r="AJ386" s="1360"/>
    </row>
    <row r="387" spans="4:36" ht="12.95" customHeight="1">
      <c r="D387" s="3" t="s">
        <v>443</v>
      </c>
      <c r="J387" s="1362" t="s">
        <v>2699</v>
      </c>
      <c r="K387" s="1362"/>
      <c r="L387" s="1362"/>
      <c r="M387" s="1362"/>
      <c r="N387" s="1362"/>
      <c r="O387" s="1362"/>
      <c r="P387" s="1362"/>
      <c r="Q387" s="1362"/>
      <c r="R387" s="1362"/>
      <c r="S387" s="1362"/>
      <c r="T387" s="1362"/>
      <c r="U387" s="1362"/>
      <c r="V387" s="3" t="s">
        <v>443</v>
      </c>
      <c r="W387" s="8"/>
      <c r="X387" s="8"/>
      <c r="Y387" s="8"/>
      <c r="Z387" s="8"/>
      <c r="AA387" s="8"/>
      <c r="AB387" s="8"/>
      <c r="AC387" s="1360" t="s">
        <v>2703</v>
      </c>
      <c r="AD387" s="1360"/>
      <c r="AE387" s="1360"/>
      <c r="AF387" s="1360"/>
      <c r="AG387" s="1360"/>
      <c r="AH387" s="1360"/>
      <c r="AI387" s="1360"/>
      <c r="AJ387" s="1360"/>
    </row>
    <row r="388" spans="4:36" ht="12.95" customHeight="1">
      <c r="D388" t="s">
        <v>1282</v>
      </c>
      <c r="J388" s="1392" t="s">
        <v>2700</v>
      </c>
      <c r="K388" s="1392"/>
      <c r="L388" s="1392"/>
      <c r="M388" s="1392"/>
      <c r="N388" s="1392"/>
      <c r="O388" s="1392"/>
      <c r="P388" s="1392"/>
      <c r="Q388" s="1392"/>
      <c r="R388" s="1392"/>
      <c r="S388" s="1392"/>
      <c r="T388" s="1392"/>
      <c r="U388" s="1392"/>
      <c r="V388" s="1360"/>
      <c r="W388" s="1360"/>
      <c r="X388" s="1360"/>
      <c r="Y388" s="1360"/>
      <c r="Z388" s="1360"/>
      <c r="AA388" s="1360"/>
      <c r="AB388" s="1360"/>
      <c r="AC388" s="1360"/>
      <c r="AD388" s="1360"/>
      <c r="AE388" s="1360"/>
      <c r="AF388" s="1360"/>
      <c r="AG388" s="1360"/>
      <c r="AH388" s="1360"/>
      <c r="AI388" s="1360"/>
      <c r="AJ388" s="1360"/>
    </row>
    <row r="389" spans="4:36" ht="12.95" customHeight="1">
      <c r="D389" t="s">
        <v>4</v>
      </c>
      <c r="Q389" s="1686" t="s">
        <v>2704</v>
      </c>
      <c r="R389" s="1687"/>
      <c r="S389" s="1687"/>
      <c r="T389" s="1687"/>
      <c r="U389" s="1687"/>
      <c r="V389" t="s">
        <v>309</v>
      </c>
      <c r="AI389" s="1366" t="s">
        <v>677</v>
      </c>
      <c r="AJ389" s="1366"/>
    </row>
    <row r="390" spans="4:36" ht="12.95" customHeight="1">
      <c r="D390" t="s">
        <v>5</v>
      </c>
      <c r="Q390" s="1624" t="s">
        <v>2705</v>
      </c>
      <c r="R390" s="1683"/>
      <c r="S390" s="1683"/>
      <c r="T390" s="1683"/>
      <c r="U390" s="1683"/>
      <c r="W390" s="21" t="s">
        <v>74</v>
      </c>
      <c r="AG390" s="1451"/>
      <c r="AH390" s="1451"/>
      <c r="AI390" s="1451"/>
      <c r="AJ390" s="1451"/>
    </row>
    <row r="391" spans="4:36" ht="12.95" customHeight="1">
      <c r="D391" t="s">
        <v>427</v>
      </c>
      <c r="Q391" s="1648" t="s">
        <v>2779</v>
      </c>
      <c r="R391" s="1682"/>
      <c r="S391" s="1682"/>
      <c r="T391" s="1682"/>
      <c r="U391" s="1682"/>
      <c r="V391" s="3" t="s">
        <v>1285</v>
      </c>
      <c r="AG391" s="1559" t="s">
        <v>2706</v>
      </c>
      <c r="AH391" s="1560"/>
      <c r="AI391" s="1560"/>
      <c r="AJ391" s="1560"/>
    </row>
    <row r="392" spans="4:36" ht="12.95" customHeight="1">
      <c r="D392" t="s">
        <v>88</v>
      </c>
      <c r="I392" s="1515"/>
      <c r="J392" s="1515"/>
      <c r="K392" s="1515"/>
      <c r="L392" s="1515"/>
      <c r="M392" s="1515"/>
      <c r="N392" s="1515"/>
      <c r="Q392" s="4" t="s">
        <v>206</v>
      </c>
      <c r="S392" s="1685"/>
      <c r="T392" s="1685"/>
      <c r="U392" s="1685"/>
      <c r="V392" t="s">
        <v>73</v>
      </c>
      <c r="AI392" s="1366" t="s">
        <v>677</v>
      </c>
      <c r="AJ392" s="1366"/>
    </row>
    <row r="393" spans="4:36" ht="12.95" customHeight="1">
      <c r="D393" t="s">
        <v>310</v>
      </c>
      <c r="Q393" s="1481">
        <f>AG393/12</f>
        <v>31273.697916666668</v>
      </c>
      <c r="R393" s="1481"/>
      <c r="S393" s="1481"/>
      <c r="T393" s="1481"/>
      <c r="U393" s="1481"/>
      <c r="V393" t="s">
        <v>311</v>
      </c>
      <c r="AG393" s="1451">
        <f>'Sources and Uses Budget'!C13</f>
        <v>375284.375</v>
      </c>
      <c r="AH393" s="1451"/>
      <c r="AI393" s="1451"/>
      <c r="AJ393" s="1451"/>
    </row>
    <row r="394" spans="4:36" ht="12.95" customHeight="1">
      <c r="D394" t="s">
        <v>312</v>
      </c>
      <c r="Q394" s="1558"/>
      <c r="R394" s="1558"/>
      <c r="S394" s="1558"/>
      <c r="T394" s="1558"/>
      <c r="U394" s="1558"/>
      <c r="V394" t="s">
        <v>1266</v>
      </c>
      <c r="AG394" s="1451"/>
      <c r="AH394" s="1451"/>
      <c r="AI394" s="1451"/>
      <c r="AJ394" s="1451"/>
    </row>
    <row r="395" spans="4:36" ht="12.95" customHeight="1">
      <c r="D395" t="s">
        <v>1265</v>
      </c>
      <c r="AG395" s="1451"/>
      <c r="AH395" s="1451"/>
      <c r="AI395" s="1451"/>
      <c r="AJ395" s="1451"/>
    </row>
    <row r="396" spans="4:36" ht="12.95" customHeight="1">
      <c r="AG396" s="490"/>
      <c r="AH396" s="490"/>
      <c r="AI396" s="490"/>
      <c r="AJ396" s="490"/>
    </row>
    <row r="397" spans="4:36" ht="12.95" customHeight="1">
      <c r="D397" s="3" t="s">
        <v>2491</v>
      </c>
      <c r="AG397" s="490"/>
      <c r="AH397" s="490"/>
      <c r="AI397" s="1366" t="s">
        <v>677</v>
      </c>
      <c r="AJ397" s="1366"/>
    </row>
    <row r="398" spans="4:36" ht="12.95" customHeight="1">
      <c r="D398" s="3" t="s">
        <v>1779</v>
      </c>
      <c r="T398" s="1401"/>
      <c r="U398" s="1401"/>
      <c r="V398" s="1401"/>
      <c r="W398" s="1401"/>
      <c r="X398" s="1401"/>
      <c r="Y398" s="1401"/>
      <c r="Z398" s="1401"/>
      <c r="AA398" s="1401"/>
      <c r="AB398" s="1401"/>
      <c r="AC398" s="1401"/>
      <c r="AD398" s="1401"/>
      <c r="AE398" s="1401"/>
      <c r="AF398" s="1401"/>
      <c r="AG398" s="1401"/>
      <c r="AH398" s="1401"/>
      <c r="AI398" s="1401"/>
      <c r="AJ398" s="1401"/>
    </row>
    <row r="399" spans="4:36" ht="12.95" customHeight="1">
      <c r="D399" s="3" t="s">
        <v>1778</v>
      </c>
      <c r="T399" s="1401"/>
      <c r="U399" s="1401"/>
      <c r="V399" s="1401"/>
      <c r="W399" s="1401"/>
      <c r="X399" s="1401"/>
      <c r="Y399" s="1401"/>
      <c r="Z399" s="1401"/>
      <c r="AA399" s="1401"/>
      <c r="AB399" s="1401"/>
      <c r="AC399" s="1401"/>
      <c r="AD399" s="1401"/>
      <c r="AE399" s="1401"/>
      <c r="AF399" s="1401"/>
      <c r="AG399" s="1401"/>
      <c r="AH399" s="1401"/>
      <c r="AI399" s="1401"/>
      <c r="AJ399" s="1401"/>
    </row>
    <row r="400" spans="4:36" ht="12.95" customHeight="1">
      <c r="AG400" s="490"/>
      <c r="AH400" s="490"/>
      <c r="AI400" s="490"/>
      <c r="AJ400" s="490"/>
    </row>
    <row r="401" spans="1:36" ht="12.95" customHeight="1">
      <c r="D401" s="3" t="s">
        <v>1772</v>
      </c>
      <c r="S401" s="1401" t="s">
        <v>677</v>
      </c>
      <c r="T401" s="1401"/>
      <c r="U401" s="1401"/>
      <c r="V401" t="s">
        <v>1773</v>
      </c>
      <c r="AG401" s="1516"/>
      <c r="AH401" s="1516"/>
      <c r="AI401" s="1516"/>
      <c r="AJ401" s="1516"/>
    </row>
    <row r="402" spans="1:36" ht="12.95" customHeight="1">
      <c r="D402" s="3" t="s">
        <v>1770</v>
      </c>
      <c r="S402" s="1401" t="s">
        <v>599</v>
      </c>
      <c r="T402" s="1401"/>
      <c r="U402" s="1401"/>
      <c r="V402" t="s">
        <v>1775</v>
      </c>
      <c r="AE402" s="1479"/>
      <c r="AF402" s="1479"/>
      <c r="AG402" s="1479"/>
      <c r="AH402" s="1479"/>
      <c r="AI402" s="1479"/>
      <c r="AJ402" s="1479"/>
    </row>
    <row r="403" spans="1:36" ht="12.95" customHeight="1">
      <c r="D403" s="3" t="s">
        <v>1771</v>
      </c>
      <c r="K403" s="1478"/>
      <c r="L403" s="1478"/>
      <c r="M403" s="1478"/>
      <c r="N403" s="1478"/>
      <c r="O403" s="1478"/>
      <c r="P403" s="1478"/>
      <c r="Q403" s="1478"/>
      <c r="R403" s="1478"/>
      <c r="S403" s="1478"/>
      <c r="T403" s="1478"/>
      <c r="U403" s="1478"/>
      <c r="V403" s="1478"/>
      <c r="W403" s="1478"/>
      <c r="X403" s="1478"/>
      <c r="Y403" s="1478"/>
      <c r="Z403" s="1478"/>
      <c r="AA403" s="1478"/>
      <c r="AB403" s="1478"/>
      <c r="AC403" s="1478"/>
      <c r="AD403" s="1478"/>
      <c r="AE403" s="1478"/>
      <c r="AF403" s="1478"/>
      <c r="AG403" s="1478"/>
      <c r="AH403" s="1478"/>
      <c r="AI403" s="1478"/>
      <c r="AJ403" s="1478"/>
    </row>
    <row r="404" spans="1:36" ht="12.95" customHeight="1">
      <c r="D404" s="3" t="s">
        <v>1774</v>
      </c>
      <c r="K404" s="1478"/>
      <c r="L404" s="1478"/>
      <c r="M404" s="1478"/>
      <c r="N404" s="1478"/>
      <c r="O404" s="1478"/>
      <c r="P404" s="1478"/>
      <c r="Q404" s="1478"/>
      <c r="R404" s="1478"/>
      <c r="S404" s="1478"/>
      <c r="T404" s="1478"/>
      <c r="U404" s="1478"/>
      <c r="V404" s="1478"/>
      <c r="W404" s="1478"/>
      <c r="X404" s="1478"/>
      <c r="Y404" s="1478"/>
      <c r="Z404" s="1478"/>
      <c r="AA404" s="1478"/>
      <c r="AB404" s="1478"/>
      <c r="AC404" s="1478"/>
      <c r="AD404" s="1478"/>
      <c r="AE404" s="1478"/>
      <c r="AF404" s="1478"/>
      <c r="AG404" s="1478"/>
      <c r="AH404" s="1478"/>
      <c r="AI404" s="1478"/>
      <c r="AJ404" s="1478"/>
    </row>
    <row r="405" spans="1:36" ht="12.95" customHeight="1">
      <c r="D405" s="3" t="s">
        <v>1777</v>
      </c>
      <c r="E405" s="511"/>
      <c r="F405" s="511"/>
      <c r="G405" s="511"/>
      <c r="H405" s="511"/>
      <c r="I405" s="511"/>
      <c r="J405" s="511"/>
      <c r="K405" s="511"/>
      <c r="L405" s="511"/>
      <c r="M405" s="511"/>
      <c r="N405" s="511"/>
      <c r="O405" s="511"/>
      <c r="P405" s="511"/>
      <c r="Q405" s="511"/>
      <c r="R405" s="511"/>
      <c r="S405" s="1834" t="s">
        <v>1288</v>
      </c>
      <c r="T405" s="1834"/>
      <c r="U405" s="1834"/>
      <c r="V405" s="1834"/>
      <c r="W405" s="1834"/>
      <c r="X405" s="1834"/>
      <c r="Y405" s="1834"/>
      <c r="Z405" s="1834"/>
      <c r="AA405" s="1834"/>
      <c r="AB405" s="1834"/>
      <c r="AC405" s="1834"/>
      <c r="AD405" s="1834"/>
      <c r="AE405" s="1834"/>
      <c r="AF405" s="1834"/>
      <c r="AG405" s="1834"/>
      <c r="AH405" s="1834"/>
      <c r="AI405" s="1834"/>
      <c r="AJ405" s="1834"/>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1308</v>
      </c>
      <c r="I410" s="1531" t="s">
        <v>2707</v>
      </c>
      <c r="J410" s="1531"/>
      <c r="K410" s="1531"/>
      <c r="L410" s="1531"/>
      <c r="M410" s="1531"/>
      <c r="N410" s="1531"/>
      <c r="O410" s="1531"/>
      <c r="P410" s="1531"/>
      <c r="Q410" s="1531"/>
      <c r="R410" s="1531"/>
      <c r="S410" s="1531"/>
      <c r="T410" s="1531"/>
      <c r="U410" s="1531"/>
      <c r="V410" s="1531"/>
      <c r="W410" s="1531"/>
      <c r="X410" s="1531"/>
      <c r="Y410" s="1531"/>
      <c r="Z410" s="1531"/>
      <c r="AA410" s="1531"/>
      <c r="AB410" s="1531"/>
      <c r="AC410" s="1531"/>
      <c r="AD410" s="1531"/>
      <c r="AE410" s="1531"/>
    </row>
    <row r="411" spans="1:36" ht="12.95" customHeight="1">
      <c r="E411" t="s">
        <v>106</v>
      </c>
      <c r="R411" s="1366" t="s">
        <v>553</v>
      </c>
      <c r="S411" s="1366"/>
      <c r="AC411" s="27" t="s">
        <v>578</v>
      </c>
      <c r="AD411" s="1390">
        <v>6</v>
      </c>
      <c r="AE411" s="1390"/>
    </row>
    <row r="412" spans="1:36" ht="12.95" customHeight="1">
      <c r="E412" t="s">
        <v>107</v>
      </c>
      <c r="R412" s="1366" t="s">
        <v>599</v>
      </c>
      <c r="S412" s="1366"/>
      <c r="AC412" s="27" t="s">
        <v>578</v>
      </c>
      <c r="AD412" s="1390"/>
      <c r="AE412" s="1390"/>
    </row>
    <row r="413" spans="1:36" ht="12.95" customHeight="1">
      <c r="E413" t="s">
        <v>108</v>
      </c>
      <c r="S413" s="1366" t="s">
        <v>599</v>
      </c>
      <c r="T413" s="1366"/>
    </row>
    <row r="414" spans="1:36" ht="12.95" customHeight="1">
      <c r="E414" t="s">
        <v>169</v>
      </c>
      <c r="H414" s="1722" t="s">
        <v>334</v>
      </c>
      <c r="I414" s="1722"/>
      <c r="J414" s="1722"/>
      <c r="K414" s="1722"/>
      <c r="L414" s="1722"/>
      <c r="M414" s="1722"/>
      <c r="N414" s="1722"/>
      <c r="O414" s="1722"/>
      <c r="P414" s="1722"/>
      <c r="Q414" s="1722"/>
      <c r="R414" s="1722"/>
      <c r="S414" s="1722"/>
      <c r="T414" s="1722"/>
      <c r="U414" s="1722"/>
      <c r="V414" s="1722"/>
      <c r="W414" s="1722"/>
      <c r="X414" s="1722"/>
      <c r="Y414" s="1722"/>
      <c r="Z414" s="1722"/>
      <c r="AA414" s="1722"/>
      <c r="AB414" s="1722"/>
      <c r="AC414" s="1722"/>
      <c r="AD414" s="1722"/>
      <c r="AE414" s="1722"/>
    </row>
    <row r="415" spans="1:36" ht="12.95" customHeight="1">
      <c r="H415" s="1723"/>
      <c r="I415" s="1723"/>
      <c r="J415" s="1723"/>
      <c r="K415" s="1723"/>
      <c r="L415" s="1723"/>
      <c r="M415" s="1723"/>
      <c r="N415" s="1723"/>
      <c r="O415" s="1723"/>
      <c r="P415" s="1723"/>
      <c r="Q415" s="1723"/>
      <c r="R415" s="1723"/>
      <c r="S415" s="1723"/>
      <c r="T415" s="1723"/>
      <c r="U415" s="1723"/>
      <c r="V415" s="1723"/>
      <c r="W415" s="1723"/>
      <c r="X415" s="1723"/>
      <c r="Y415" s="1723"/>
      <c r="Z415" s="1723"/>
      <c r="AA415" s="1723"/>
      <c r="AB415" s="1723"/>
      <c r="AC415" s="1723"/>
      <c r="AD415" s="1723"/>
      <c r="AE415" s="1723"/>
    </row>
    <row r="416" spans="1:36" ht="12.95" customHeight="1"/>
    <row r="417" spans="1:39" ht="12.95" customHeight="1">
      <c r="A417" s="2" t="s">
        <v>598</v>
      </c>
      <c r="B417" s="2"/>
      <c r="C417" s="2"/>
      <c r="D417" s="2" t="s">
        <v>114</v>
      </c>
      <c r="AF417" s="2" t="s">
        <v>974</v>
      </c>
    </row>
    <row r="418" spans="1:39" ht="12.95" customHeight="1">
      <c r="E418" s="1477"/>
      <c r="F418" s="1477"/>
      <c r="G418" s="1477"/>
      <c r="H418" s="13" t="s">
        <v>115</v>
      </c>
      <c r="I418" s="1477"/>
      <c r="J418" s="1477"/>
      <c r="K418" s="1477"/>
      <c r="L418" t="s">
        <v>116</v>
      </c>
      <c r="N418" s="27" t="s">
        <v>583</v>
      </c>
      <c r="P418" s="1684">
        <v>1.3</v>
      </c>
      <c r="Q418" s="1684"/>
      <c r="R418" s="1684"/>
      <c r="S418" t="s">
        <v>117</v>
      </c>
      <c r="W418" s="1486">
        <f>IF(E418&gt;0,(E418*I418),(P418*43560))</f>
        <v>56628</v>
      </c>
      <c r="X418" s="1486"/>
      <c r="Y418" s="1486"/>
      <c r="Z418" t="s">
        <v>118</v>
      </c>
      <c r="AF418" s="1681">
        <f>IFERROR(IF(P418&gt;0,(AG437/P418),(AG437/(W418/43560))),0)</f>
        <v>123.07692307692307</v>
      </c>
      <c r="AG418" s="1681"/>
      <c r="AH418" s="1681"/>
      <c r="AM418" s="3"/>
    </row>
    <row r="419" spans="1:39" ht="12.95" customHeight="1">
      <c r="E419" t="s">
        <v>51</v>
      </c>
    </row>
    <row r="420" spans="1:39" ht="12.95" customHeight="1">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row>
    <row r="421" spans="1:39" ht="12.95" customHeight="1">
      <c r="E421" s="118" t="s">
        <v>1920</v>
      </c>
      <c r="F421" s="1045"/>
      <c r="G421" s="1045"/>
      <c r="H421" s="1045"/>
      <c r="I421" s="1693"/>
      <c r="J421" s="1693"/>
      <c r="K421" s="1693"/>
      <c r="L421" s="1045"/>
      <c r="M421" s="118"/>
      <c r="N421" s="1045"/>
      <c r="O421" s="1045"/>
      <c r="P421" s="1720" t="e">
        <f>(CS634+CS642+CS658)/I421</f>
        <v>#DIV/0!</v>
      </c>
      <c r="Q421" s="1720"/>
      <c r="R421" s="1720"/>
      <c r="S421" s="118" t="s">
        <v>1921</v>
      </c>
      <c r="T421" s="1045"/>
      <c r="U421" s="1045"/>
      <c r="V421" s="1045"/>
      <c r="W421" s="1045"/>
      <c r="X421" s="1045"/>
      <c r="Y421" s="1045"/>
      <c r="Z421" s="1045"/>
      <c r="AA421" s="1045"/>
      <c r="AB421" s="1045"/>
      <c r="AC421" s="1045"/>
      <c r="AD421" s="1045"/>
      <c r="AE421" s="1045"/>
      <c r="AF421" s="1045"/>
      <c r="AG421" s="1045"/>
      <c r="AH421" s="1045"/>
      <c r="AI421" s="1045"/>
      <c r="AJ421" s="1045"/>
    </row>
    <row r="422" spans="1:39" ht="12.95" customHeight="1"/>
    <row r="423" spans="1:39" ht="12.95" customHeight="1">
      <c r="A423" s="2" t="s">
        <v>600</v>
      </c>
      <c r="B423" s="2"/>
      <c r="C423" s="2"/>
      <c r="D423" s="2" t="s">
        <v>120</v>
      </c>
    </row>
    <row r="424" spans="1:39" ht="12.95" customHeight="1">
      <c r="E424" t="s">
        <v>121</v>
      </c>
      <c r="P424" s="1366">
        <v>1</v>
      </c>
      <c r="Q424" s="1366"/>
      <c r="S424" t="s">
        <v>189</v>
      </c>
      <c r="AE424" s="1366">
        <v>1</v>
      </c>
      <c r="AF424" s="1366"/>
    </row>
    <row r="425" spans="1:39" ht="12.95" customHeight="1">
      <c r="E425" t="s">
        <v>190</v>
      </c>
      <c r="P425" s="1366">
        <v>0</v>
      </c>
      <c r="Q425" s="1366"/>
      <c r="S425" t="s">
        <v>131</v>
      </c>
      <c r="AE425" s="1366" t="s">
        <v>599</v>
      </c>
      <c r="AF425" s="1366"/>
    </row>
    <row r="426" spans="1:39" ht="12.95" customHeight="1">
      <c r="F426" s="28" t="s">
        <v>132</v>
      </c>
    </row>
    <row r="427" spans="1:39" ht="12.95" customHeight="1">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2"/>
      <c r="AG427" s="1522"/>
      <c r="AH427" s="1522"/>
    </row>
    <row r="428" spans="1:39" ht="12.95" customHeight="1">
      <c r="F428" s="1523"/>
      <c r="G428" s="1523"/>
      <c r="H428" s="1523"/>
      <c r="I428" s="1523"/>
      <c r="J428" s="1523"/>
      <c r="K428" s="1523"/>
      <c r="L428" s="1523"/>
      <c r="M428" s="1523"/>
      <c r="N428" s="1523"/>
      <c r="O428" s="1523"/>
      <c r="P428" s="1523"/>
      <c r="Q428" s="1523"/>
      <c r="R428" s="1523"/>
      <c r="S428" s="1523"/>
      <c r="T428" s="1523"/>
      <c r="U428" s="1523"/>
      <c r="V428" s="1523"/>
      <c r="W428" s="1523"/>
      <c r="X428" s="1523"/>
      <c r="Y428" s="1523"/>
      <c r="Z428" s="1523"/>
      <c r="AA428" s="1523"/>
      <c r="AB428" s="1523"/>
      <c r="AC428" s="1523"/>
      <c r="AD428" s="1523"/>
      <c r="AE428" s="1523"/>
      <c r="AF428" s="1523"/>
      <c r="AG428" s="1523"/>
      <c r="AH428" s="1523"/>
    </row>
    <row r="429" spans="1:39" ht="12.95" customHeight="1">
      <c r="E429" t="s">
        <v>616</v>
      </c>
      <c r="P429" s="1"/>
      <c r="Q429" s="1366" t="s">
        <v>553</v>
      </c>
      <c r="R429" s="1366"/>
    </row>
    <row r="430" spans="1:39" ht="12.95" customHeight="1">
      <c r="F430" t="s">
        <v>617</v>
      </c>
      <c r="P430" s="1"/>
      <c r="Q430" s="1"/>
      <c r="AF430" s="1366" t="s">
        <v>599</v>
      </c>
      <c r="AG430" s="1487"/>
    </row>
    <row r="431" spans="1:39" ht="12.95" customHeight="1"/>
    <row r="432" spans="1:39" ht="12.95" customHeight="1">
      <c r="A432" s="2"/>
      <c r="B432" s="2"/>
      <c r="C432" s="2"/>
      <c r="E432" s="4" t="s">
        <v>308</v>
      </c>
      <c r="Z432" s="1366" t="s">
        <v>677</v>
      </c>
      <c r="AA432" s="136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66" t="s">
        <v>599</v>
      </c>
      <c r="AA434" s="1366"/>
    </row>
    <row r="435" spans="1:110" ht="12.95" customHeight="1"/>
    <row r="436" spans="1:110" ht="12.95" customHeight="1">
      <c r="A436" s="2" t="s">
        <v>475</v>
      </c>
      <c r="B436" s="2"/>
      <c r="C436" s="2"/>
      <c r="D436" s="2" t="s">
        <v>773</v>
      </c>
      <c r="AF436" s="48"/>
    </row>
    <row r="437" spans="1:110" ht="12.95" customHeight="1">
      <c r="D437" s="1456" t="s">
        <v>43</v>
      </c>
      <c r="E437" s="1454"/>
      <c r="F437" s="1454"/>
      <c r="G437" s="1454"/>
      <c r="H437" s="1454"/>
      <c r="I437" s="1454"/>
      <c r="J437" s="1454"/>
      <c r="K437" s="1454"/>
      <c r="L437" s="1454"/>
      <c r="M437" s="1454"/>
      <c r="N437" s="1454"/>
      <c r="O437" s="1454"/>
      <c r="P437" s="1454"/>
      <c r="Q437" s="1454"/>
      <c r="R437" s="1454"/>
      <c r="S437" s="1454"/>
      <c r="T437" s="1454"/>
      <c r="U437" s="1454"/>
      <c r="V437" s="1454"/>
      <c r="W437" s="1454"/>
      <c r="X437" s="1454"/>
      <c r="Y437" s="1454"/>
      <c r="Z437" s="1454"/>
      <c r="AA437" s="1454"/>
      <c r="AB437" s="1454"/>
      <c r="AC437" s="1454"/>
      <c r="AD437" s="1454"/>
      <c r="AE437" s="1454"/>
      <c r="AF437" s="1455"/>
      <c r="AG437" s="1457">
        <v>160</v>
      </c>
      <c r="AH437" s="1457"/>
      <c r="AI437" s="1457"/>
      <c r="AJ437" s="1457"/>
    </row>
    <row r="438" spans="1:110" ht="12.95" customHeight="1">
      <c r="D438" s="1446" t="s">
        <v>1327</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49">
        <v>0</v>
      </c>
      <c r="AH438" s="1450"/>
      <c r="AI438" s="1450"/>
      <c r="AJ438" s="1450"/>
    </row>
    <row r="439" spans="1:110" ht="12.95" customHeight="1">
      <c r="D439" s="1446" t="s">
        <v>1053</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158</v>
      </c>
      <c r="AH439" s="1457"/>
      <c r="AI439" s="1457"/>
      <c r="AJ439" s="1457"/>
    </row>
    <row r="440" spans="1:110" ht="12.95" customHeight="1">
      <c r="D440" s="1446" t="s">
        <v>1054</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v>158</v>
      </c>
      <c r="AH440" s="1457"/>
      <c r="AI440" s="1457"/>
      <c r="AJ440" s="1457"/>
    </row>
    <row r="441" spans="1:110" ht="12.95" customHeight="1">
      <c r="D441" s="1446" t="s">
        <v>1056</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58">
        <f>IF(ISERROR(AG440/AG439),"",AG440/AG439)</f>
        <v>1</v>
      </c>
      <c r="AH441" s="1458"/>
      <c r="AI441" s="1458"/>
      <c r="AJ441" s="1458"/>
    </row>
    <row r="442" spans="1:110" ht="12.95" customHeight="1">
      <c r="D442" s="1446" t="s">
        <v>1055</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45">
        <v>119536</v>
      </c>
      <c r="AH442" s="1445"/>
      <c r="AI442" s="1445"/>
      <c r="AJ442" s="1445"/>
    </row>
    <row r="443" spans="1:110" ht="12.95" customHeight="1">
      <c r="D443" s="1446" t="s">
        <v>1057</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45">
        <v>119536</v>
      </c>
      <c r="AH443" s="1445"/>
      <c r="AI443" s="1445"/>
      <c r="AJ443" s="1445"/>
    </row>
    <row r="444" spans="1:110" ht="12.95" customHeight="1">
      <c r="D444" s="1446" t="s">
        <v>1058</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58">
        <f>IF(ISERROR(AG443/AG442),"",AG443/AG442)</f>
        <v>1</v>
      </c>
      <c r="AH444" s="1458"/>
      <c r="AI444" s="1458"/>
      <c r="AJ444" s="1458"/>
    </row>
    <row r="445" spans="1:110" ht="12.95" customHeight="1">
      <c r="D445" s="1446" t="s">
        <v>1059</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58">
        <f>MIN(IF(AG441&gt;AG444,AG444,AG441),1)</f>
        <v>1</v>
      </c>
      <c r="AH445" s="1458"/>
      <c r="AI445" s="1458"/>
      <c r="AJ445" s="1458"/>
    </row>
    <row r="446" spans="1:110" ht="12.95" customHeight="1">
      <c r="D446" s="1446" t="s">
        <v>2393</v>
      </c>
      <c r="E446" s="1454"/>
      <c r="F446" s="1454"/>
      <c r="G446" s="1454"/>
      <c r="H446" s="1454"/>
      <c r="I446" s="1454"/>
      <c r="J446" s="1454"/>
      <c r="K446" s="1454"/>
      <c r="L446" s="1454"/>
      <c r="M446" s="1454"/>
      <c r="N446" s="1454"/>
      <c r="O446" s="1454"/>
      <c r="P446" s="1454"/>
      <c r="Q446" s="1454"/>
      <c r="R446" s="1454"/>
      <c r="S446" s="1454"/>
      <c r="T446" s="1454"/>
      <c r="U446" s="1454"/>
      <c r="V446" s="1454"/>
      <c r="W446" s="1454"/>
      <c r="X446" s="1454"/>
      <c r="Y446" s="1454"/>
      <c r="Z446" s="1454"/>
      <c r="AA446" s="1454"/>
      <c r="AB446" s="1454"/>
      <c r="AC446" s="1454"/>
      <c r="AD446" s="1454"/>
      <c r="AE446" s="1454"/>
      <c r="AF446" s="1455"/>
      <c r="AG446" s="1445">
        <v>3551</v>
      </c>
      <c r="AH446" s="1445"/>
      <c r="AI446" s="1445"/>
      <c r="AJ446" s="144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56" t="s">
        <v>577</v>
      </c>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c r="AA447" s="1454"/>
      <c r="AB447" s="1454"/>
      <c r="AC447" s="1454"/>
      <c r="AD447" s="1454"/>
      <c r="AE447" s="1454"/>
      <c r="AF447" s="1455"/>
      <c r="AG447" s="1445">
        <v>0</v>
      </c>
      <c r="AH447" s="1445"/>
      <c r="AI447" s="1445"/>
      <c r="AJ447" s="144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6" t="s">
        <v>1309</v>
      </c>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c r="AA448" s="1454"/>
      <c r="AB448" s="1454"/>
      <c r="AC448" s="1454"/>
      <c r="AD448" s="1454"/>
      <c r="AE448" s="1454"/>
      <c r="AF448" s="1455"/>
      <c r="AG448" s="1445">
        <v>60216</v>
      </c>
      <c r="AH448" s="1445"/>
      <c r="AI448" s="1445"/>
      <c r="AJ448" s="144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6" t="s">
        <v>1060</v>
      </c>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c r="AA449" s="1454"/>
      <c r="AB449" s="1454"/>
      <c r="AC449" s="1454"/>
      <c r="AD449" s="1454"/>
      <c r="AE449" s="1454"/>
      <c r="AF449" s="1455"/>
      <c r="AG449" s="1445">
        <v>36248</v>
      </c>
      <c r="AH449" s="1445"/>
      <c r="AI449" s="1445"/>
      <c r="AJ449" s="144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7" t="s">
        <v>1061</v>
      </c>
      <c r="E450" s="1518"/>
      <c r="F450" s="1518"/>
      <c r="G450" s="1518"/>
      <c r="H450" s="1518"/>
      <c r="I450" s="1518"/>
      <c r="J450" s="1518"/>
      <c r="K450" s="1518"/>
      <c r="L450" s="1518"/>
      <c r="M450" s="1518"/>
      <c r="N450" s="1518"/>
      <c r="O450" s="1518"/>
      <c r="P450" s="1518"/>
      <c r="Q450" s="1518"/>
      <c r="R450" s="1518"/>
      <c r="S450" s="1518"/>
      <c r="T450" s="1518"/>
      <c r="U450" s="1518"/>
      <c r="V450" s="1518"/>
      <c r="W450" s="1518"/>
      <c r="X450" s="1518"/>
      <c r="Y450" s="1518"/>
      <c r="Z450" s="1518"/>
      <c r="AA450" s="1518"/>
      <c r="AB450" s="1518"/>
      <c r="AC450" s="1518"/>
      <c r="AD450" s="1518"/>
      <c r="AE450" s="1518"/>
      <c r="AF450" s="1519"/>
      <c r="AG450" s="1502">
        <f>AG442+AG446+AG448+AG449</f>
        <v>219551</v>
      </c>
      <c r="AH450" s="1502"/>
      <c r="AI450" s="1502"/>
      <c r="AJ450" s="15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0" t="s">
        <v>1310</v>
      </c>
      <c r="E451" s="1520"/>
      <c r="F451" s="1520"/>
      <c r="G451" s="1520"/>
      <c r="H451" s="1520"/>
      <c r="I451" s="1520"/>
      <c r="J451" s="1520"/>
      <c r="K451" s="1520"/>
      <c r="L451" s="1520"/>
      <c r="M451" s="1520"/>
      <c r="N451" s="1520"/>
      <c r="O451" s="1520"/>
      <c r="P451" s="1520"/>
      <c r="Q451" s="1520"/>
      <c r="R451" s="1520"/>
      <c r="S451" s="1520"/>
      <c r="T451" s="1520"/>
      <c r="U451" s="1520"/>
      <c r="V451" s="1520"/>
      <c r="W451" s="1520"/>
      <c r="X451" s="1520"/>
      <c r="Y451" s="1520"/>
      <c r="Z451" s="1520"/>
      <c r="AA451" s="1520"/>
      <c r="AB451" s="1520"/>
      <c r="AC451" s="1520"/>
      <c r="AD451" s="1520"/>
      <c r="AE451" s="1520"/>
      <c r="AF451" s="1520"/>
      <c r="AG451" s="1520"/>
      <c r="AH451" s="1520"/>
      <c r="AI451" s="1520"/>
      <c r="AJ451" s="152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1"/>
      <c r="E452" s="1521"/>
      <c r="F452" s="1521"/>
      <c r="G452" s="1521"/>
      <c r="H452" s="1521"/>
      <c r="I452" s="1521"/>
      <c r="J452" s="1521"/>
      <c r="K452" s="1521"/>
      <c r="L452" s="1521"/>
      <c r="M452" s="1521"/>
      <c r="N452" s="1521"/>
      <c r="O452" s="1521"/>
      <c r="P452" s="1521"/>
      <c r="Q452" s="1521"/>
      <c r="R452" s="1521"/>
      <c r="S452" s="1521"/>
      <c r="T452" s="1521"/>
      <c r="U452" s="1521"/>
      <c r="V452" s="1521"/>
      <c r="W452" s="1521"/>
      <c r="X452" s="1521"/>
      <c r="Y452" s="1521"/>
      <c r="Z452" s="1521"/>
      <c r="AA452" s="1521"/>
      <c r="AB452" s="1521"/>
      <c r="AC452" s="1521"/>
      <c r="AD452" s="1521"/>
      <c r="AE452" s="1521"/>
      <c r="AF452" s="1521"/>
      <c r="AG452" s="1521"/>
      <c r="AH452" s="1521"/>
      <c r="AI452" s="1521"/>
      <c r="AJ452" s="152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80">
        <f>IF(AG437=0,"",'Sources and Uses Budget'!B105/Application!AG437)</f>
        <v>492153.71479816211</v>
      </c>
      <c r="AD454" s="1480"/>
      <c r="AE454" s="1480"/>
      <c r="AF454" s="148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80">
        <f>IF(AG437=0,"",'Sources and Uses Budget'!C105/Application!AG437)</f>
        <v>492153.71479816211</v>
      </c>
      <c r="AD455" s="1480"/>
      <c r="AE455" s="1480"/>
      <c r="AF455" s="148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80">
        <f>IF(AG437=0,"",('Sources and Uses Budget'!$S$107+'Sources and Uses Budget'!$T$107)/Application!AG437)</f>
        <v>445951.36069170822</v>
      </c>
      <c r="AD456" s="1480"/>
      <c r="AE456" s="1480"/>
      <c r="AF456" s="148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835" t="str">
        <f>IFERROR(IF(AC454&gt;650000,"Please provide a justification of cost per unit in Tab 12 for all projects with per unit costs of greater than $650,000.",""),"")</f>
        <v/>
      </c>
      <c r="G457" s="1835"/>
      <c r="H457" s="1835"/>
      <c r="I457" s="1835"/>
      <c r="J457" s="1835"/>
      <c r="K457" s="1835"/>
      <c r="L457" s="1835"/>
      <c r="M457" s="1835"/>
      <c r="N457" s="1835"/>
      <c r="O457" s="1835"/>
      <c r="P457" s="1835"/>
      <c r="Q457" s="1835"/>
      <c r="R457" s="1835"/>
      <c r="S457" s="1835"/>
      <c r="T457" s="1835"/>
      <c r="U457" s="1835"/>
      <c r="V457" s="1835"/>
      <c r="W457" s="1835"/>
      <c r="X457" s="1835"/>
      <c r="Y457" s="1835"/>
      <c r="Z457" s="1835"/>
      <c r="AA457" s="1835"/>
      <c r="AB457" s="183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835"/>
      <c r="G458" s="1835"/>
      <c r="H458" s="1835"/>
      <c r="I458" s="1835"/>
      <c r="J458" s="1835"/>
      <c r="K458" s="1835"/>
      <c r="L458" s="1835"/>
      <c r="M458" s="1835"/>
      <c r="N458" s="1835"/>
      <c r="O458" s="1835"/>
      <c r="P458" s="1835"/>
      <c r="Q458" s="1835"/>
      <c r="R458" s="1835"/>
      <c r="S458" s="1835"/>
      <c r="T458" s="1835"/>
      <c r="U458" s="1835"/>
      <c r="V458" s="1835"/>
      <c r="W458" s="1835"/>
      <c r="X458" s="1835"/>
      <c r="Y458" s="1835"/>
      <c r="Z458" s="1835"/>
      <c r="AA458" s="1835"/>
      <c r="AB458" s="183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2063</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0" t="s">
        <v>2407</v>
      </c>
      <c r="E465" s="1395"/>
      <c r="F465" s="1395"/>
      <c r="G465" s="1395"/>
      <c r="H465" s="1395"/>
      <c r="I465" s="1395"/>
      <c r="J465" s="1395"/>
      <c r="K465" s="1395"/>
      <c r="L465" s="1395"/>
      <c r="M465" s="1395"/>
      <c r="N465" s="1395"/>
      <c r="O465" s="1395"/>
      <c r="P465" s="1395"/>
      <c r="Q465" s="1395"/>
      <c r="R465" s="1395"/>
      <c r="S465" s="1395"/>
      <c r="T465" s="1395"/>
      <c r="U465" s="1395"/>
      <c r="V465" s="1396"/>
      <c r="W465" s="1433">
        <v>0</v>
      </c>
      <c r="X465" s="1434"/>
      <c r="Y465" s="143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94" t="s">
        <v>702</v>
      </c>
      <c r="E466" s="1395"/>
      <c r="F466" s="1395"/>
      <c r="G466" s="1395"/>
      <c r="H466" s="1395"/>
      <c r="I466" s="1395"/>
      <c r="J466" s="1395"/>
      <c r="K466" s="1395"/>
      <c r="L466" s="1395"/>
      <c r="M466" s="1395"/>
      <c r="N466" s="1395"/>
      <c r="O466" s="1395"/>
      <c r="P466" s="1395"/>
      <c r="Q466" s="1395"/>
      <c r="R466" s="1395"/>
      <c r="S466" s="1395"/>
      <c r="T466" s="1395"/>
      <c r="U466" s="1395"/>
      <c r="V466" s="1396"/>
      <c r="W466" s="1433">
        <v>0</v>
      </c>
      <c r="X466" s="1434"/>
      <c r="Y466" s="143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94" t="s">
        <v>703</v>
      </c>
      <c r="E467" s="1395"/>
      <c r="F467" s="1395"/>
      <c r="G467" s="1395"/>
      <c r="H467" s="1395"/>
      <c r="I467" s="1395"/>
      <c r="J467" s="1395"/>
      <c r="K467" s="1395"/>
      <c r="L467" s="1395"/>
      <c r="M467" s="1395"/>
      <c r="N467" s="1395"/>
      <c r="O467" s="1395"/>
      <c r="P467" s="1395"/>
      <c r="Q467" s="1395"/>
      <c r="R467" s="1395"/>
      <c r="S467" s="1395"/>
      <c r="T467" s="1395"/>
      <c r="U467" s="1395"/>
      <c r="V467" s="1396"/>
      <c r="W467" s="1433">
        <v>0</v>
      </c>
      <c r="X467" s="1434"/>
      <c r="Y467" s="143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94" t="s">
        <v>704</v>
      </c>
      <c r="E468" s="1395"/>
      <c r="F468" s="1395"/>
      <c r="G468" s="1395"/>
      <c r="H468" s="1395"/>
      <c r="I468" s="1395"/>
      <c r="J468" s="1395"/>
      <c r="K468" s="1395"/>
      <c r="L468" s="1395"/>
      <c r="M468" s="1395"/>
      <c r="N468" s="1395"/>
      <c r="O468" s="1395"/>
      <c r="P468" s="1395"/>
      <c r="Q468" s="1395"/>
      <c r="R468" s="1395"/>
      <c r="S468" s="1395"/>
      <c r="T468" s="1395"/>
      <c r="U468" s="1395"/>
      <c r="V468" s="1396"/>
      <c r="W468" s="1433">
        <v>0</v>
      </c>
      <c r="X468" s="1434"/>
      <c r="Y468" s="143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94" t="s">
        <v>891</v>
      </c>
      <c r="E469" s="1395"/>
      <c r="F469" s="1395"/>
      <c r="G469" s="1395"/>
      <c r="H469" s="1395"/>
      <c r="I469" s="1395"/>
      <c r="J469" s="1395"/>
      <c r="K469" s="1395"/>
      <c r="L469" s="1395"/>
      <c r="M469" s="1395"/>
      <c r="N469" s="1395"/>
      <c r="O469" s="1395"/>
      <c r="P469" s="1395"/>
      <c r="Q469" s="1395"/>
      <c r="R469" s="1395"/>
      <c r="S469" s="1395"/>
      <c r="T469" s="1395"/>
      <c r="U469" s="1395"/>
      <c r="V469" s="1396"/>
      <c r="W469" s="1433">
        <v>0</v>
      </c>
      <c r="X469" s="1434"/>
      <c r="Y469" s="143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94" t="s">
        <v>705</v>
      </c>
      <c r="E470" s="1395"/>
      <c r="F470" s="1395"/>
      <c r="G470" s="1395"/>
      <c r="H470" s="1395"/>
      <c r="I470" s="1395"/>
      <c r="J470" s="1395"/>
      <c r="K470" s="1395"/>
      <c r="L470" s="1395"/>
      <c r="M470" s="1395"/>
      <c r="N470" s="1395"/>
      <c r="O470" s="1395"/>
      <c r="P470" s="1395"/>
      <c r="Q470" s="1395"/>
      <c r="R470" s="1395"/>
      <c r="S470" s="1395"/>
      <c r="T470" s="1395"/>
      <c r="U470" s="1395"/>
      <c r="V470" s="1396"/>
      <c r="W470" s="1433">
        <v>0</v>
      </c>
      <c r="X470" s="1434"/>
      <c r="Y470" s="143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94" t="s">
        <v>1034</v>
      </c>
      <c r="E471" s="1395"/>
      <c r="F471" s="1395"/>
      <c r="G471" s="1395"/>
      <c r="H471" s="1395"/>
      <c r="I471" s="1395"/>
      <c r="J471" s="1395"/>
      <c r="K471" s="1395"/>
      <c r="L471" s="1395"/>
      <c r="M471" s="1395"/>
      <c r="N471" s="1395"/>
      <c r="O471" s="1395"/>
      <c r="P471" s="1395"/>
      <c r="Q471" s="1395"/>
      <c r="R471" s="1395"/>
      <c r="S471" s="1395"/>
      <c r="T471" s="1395"/>
      <c r="U471" s="1395"/>
      <c r="V471" s="1396"/>
      <c r="W471" s="1433">
        <v>0</v>
      </c>
      <c r="X471" s="1434"/>
      <c r="Y471" s="143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0" t="s">
        <v>2544</v>
      </c>
      <c r="E472" s="1431"/>
      <c r="F472" s="1431"/>
      <c r="G472" s="1431"/>
      <c r="H472" s="1431"/>
      <c r="I472" s="1431"/>
      <c r="J472" s="1431"/>
      <c r="K472" s="1431"/>
      <c r="L472" s="1431"/>
      <c r="M472" s="1431"/>
      <c r="N472" s="1431"/>
      <c r="O472" s="1431"/>
      <c r="P472" s="1431"/>
      <c r="Q472" s="1431"/>
      <c r="R472" s="1431"/>
      <c r="S472" s="1431"/>
      <c r="T472" s="1431"/>
      <c r="U472" s="1431"/>
      <c r="V472" s="1432"/>
      <c r="W472" s="1433">
        <v>0</v>
      </c>
      <c r="X472" s="1434"/>
      <c r="Y472" s="143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0" t="s">
        <v>1765</v>
      </c>
      <c r="E473" s="1395"/>
      <c r="F473" s="1395"/>
      <c r="G473" s="1395"/>
      <c r="H473" s="1395"/>
      <c r="I473" s="1395"/>
      <c r="J473" s="1395"/>
      <c r="K473" s="1395"/>
      <c r="L473" s="1395"/>
      <c r="M473" s="1395"/>
      <c r="N473" s="1395"/>
      <c r="O473" s="1395"/>
      <c r="P473" s="1395"/>
      <c r="Q473" s="1395"/>
      <c r="R473" s="1395"/>
      <c r="S473" s="1395"/>
      <c r="T473" s="1395"/>
      <c r="U473" s="1395"/>
      <c r="V473" s="1396"/>
      <c r="W473" s="1433">
        <v>42</v>
      </c>
      <c r="X473" s="1434"/>
      <c r="Y473" s="143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499"/>
      <c r="H474" s="1500"/>
      <c r="I474" s="1500"/>
      <c r="J474" s="1500"/>
      <c r="K474" s="1500"/>
      <c r="L474" s="1500"/>
      <c r="M474" s="1500"/>
      <c r="N474" s="1500"/>
      <c r="O474" s="1500"/>
      <c r="P474" s="1500"/>
      <c r="Q474" s="1500"/>
      <c r="R474" s="1500"/>
      <c r="S474" s="1500"/>
      <c r="T474" s="1500"/>
      <c r="U474" s="1500"/>
      <c r="V474" s="1501"/>
      <c r="W474" s="1433">
        <v>0</v>
      </c>
      <c r="X474" s="1434"/>
      <c r="Y474" s="143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3" t="s">
        <v>819</v>
      </c>
      <c r="B480" s="1663"/>
      <c r="C480" s="1663"/>
      <c r="D480" s="1663"/>
      <c r="E480" s="1663"/>
      <c r="F480" s="1663"/>
      <c r="G480" s="1663"/>
      <c r="H480" s="1663"/>
      <c r="I480" s="1663"/>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663"/>
      <c r="AD480" s="1663"/>
      <c r="AE480" s="1663"/>
      <c r="AF480" s="1663"/>
      <c r="AG480" s="1663"/>
      <c r="AH480" s="1663"/>
      <c r="AI480" s="1663"/>
      <c r="AJ480" s="1663"/>
      <c r="AK480" s="1663"/>
      <c r="AL480" s="1663"/>
      <c r="AM480" s="1663"/>
      <c r="AN480" s="1663"/>
      <c r="AO480" s="1663"/>
      <c r="AP480" s="1663"/>
      <c r="AQ480" s="1663"/>
      <c r="AR480" s="1663"/>
      <c r="AS480" s="1663"/>
      <c r="AT480" s="16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3"/>
      <c r="B481" s="1663"/>
      <c r="C481" s="1663"/>
      <c r="D481" s="1663"/>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663"/>
      <c r="AD481" s="1663"/>
      <c r="AE481" s="1663"/>
      <c r="AF481" s="1663"/>
      <c r="AG481" s="1663"/>
      <c r="AH481" s="1663"/>
      <c r="AI481" s="1663"/>
      <c r="AJ481" s="1663"/>
      <c r="AK481" s="1663"/>
      <c r="AL481" s="1663"/>
      <c r="AM481" s="1663"/>
      <c r="AN481" s="1663"/>
      <c r="AO481" s="1663"/>
      <c r="AP481" s="1663"/>
      <c r="AQ481" s="1663"/>
      <c r="AR481" s="1663"/>
      <c r="AS481" s="1663"/>
      <c r="AT481" s="16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75" t="s">
        <v>393</v>
      </c>
      <c r="R485" s="1411"/>
      <c r="S485" s="1411"/>
      <c r="T485" s="1411"/>
      <c r="U485" s="1411"/>
      <c r="V485" s="1411"/>
      <c r="W485" s="1411"/>
      <c r="X485" s="1411"/>
      <c r="Y485" s="1411"/>
      <c r="Z485" s="1411"/>
      <c r="AA485" s="1411"/>
      <c r="AB485" s="1411"/>
      <c r="AC485" s="1411"/>
      <c r="AD485" s="1411"/>
      <c r="AE485" s="1411"/>
      <c r="AF485" s="1411"/>
      <c r="AG485" s="1411"/>
      <c r="AH485" s="1411"/>
      <c r="AI485" s="1411"/>
      <c r="AJ485" s="1411"/>
      <c r="AK485" s="141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2" t="s">
        <v>2708</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2497</v>
      </c>
      <c r="BW486" s="208"/>
      <c r="BX486" s="208"/>
      <c r="BY486" s="208"/>
      <c r="BZ486" s="208"/>
      <c r="CA486" s="208"/>
      <c r="CB486" s="208"/>
      <c r="CC486" s="3"/>
      <c r="CD486" s="207" t="s">
        <v>2496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2" t="s">
        <v>2709</v>
      </c>
      <c r="R487" s="1362"/>
      <c r="S487" s="1362"/>
      <c r="T487" s="1362"/>
      <c r="U487" s="1362"/>
      <c r="V487" s="1362"/>
      <c r="W487" s="1362"/>
      <c r="X487" s="1362"/>
      <c r="Y487" s="1362"/>
      <c r="Z487" s="1362"/>
      <c r="AA487" s="1362"/>
      <c r="AB487" s="1362"/>
      <c r="AC487" s="1362"/>
      <c r="AD487" s="1362"/>
      <c r="AE487" s="1362"/>
      <c r="AF487" s="1362"/>
      <c r="AG487" s="1362"/>
      <c r="AH487" s="1362"/>
      <c r="AI487" s="1362"/>
      <c r="AJ487" s="1362"/>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2" t="s">
        <v>2710</v>
      </c>
      <c r="R488" s="1362"/>
      <c r="S488" s="1362"/>
      <c r="T488" s="1362"/>
      <c r="U488" s="1362"/>
      <c r="V488" s="1362"/>
      <c r="W488" s="1362"/>
      <c r="X488" s="1362"/>
      <c r="Y488" s="1362"/>
      <c r="Z488" s="1362"/>
      <c r="AA488" s="1362"/>
      <c r="AB488" s="1362"/>
      <c r="AC488" s="1362"/>
      <c r="AD488" s="1362"/>
      <c r="AE488" s="1362"/>
      <c r="AF488" s="1362"/>
      <c r="AG488" s="1362"/>
      <c r="AH488" s="1362"/>
      <c r="AI488" s="1362"/>
      <c r="AJ488" s="1362"/>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397</v>
      </c>
      <c r="C489" s="1460"/>
      <c r="D489" s="1460"/>
      <c r="E489" s="1460"/>
      <c r="F489" s="1460"/>
      <c r="G489" s="1460"/>
      <c r="H489" s="1460"/>
      <c r="I489" s="1460"/>
      <c r="J489" s="1460"/>
      <c r="K489" s="1460"/>
      <c r="L489" s="1460"/>
      <c r="M489" s="1460"/>
      <c r="N489" s="1460"/>
      <c r="O489" s="1460"/>
      <c r="P489" s="1461"/>
      <c r="Q489" s="1465" t="s">
        <v>553</v>
      </c>
      <c r="R489" s="1466"/>
      <c r="S489" s="1688" t="s">
        <v>2711</v>
      </c>
      <c r="T489" s="1689"/>
      <c r="U489" s="1689"/>
      <c r="V489" s="1689"/>
      <c r="W489" s="1689"/>
      <c r="X489" s="1689"/>
      <c r="Y489" s="1689"/>
      <c r="Z489" s="1689"/>
      <c r="AA489" s="1689"/>
      <c r="AB489" s="1689"/>
      <c r="AC489" s="1689"/>
      <c r="AD489" s="1689"/>
      <c r="AE489" s="1689"/>
      <c r="AF489" s="1689"/>
      <c r="AG489" s="1689"/>
      <c r="AH489" s="1689"/>
      <c r="AI489" s="1689"/>
      <c r="AJ489" s="1689"/>
      <c r="AK489" s="169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691"/>
      <c r="T490" s="1523"/>
      <c r="U490" s="1523"/>
      <c r="V490" s="1523"/>
      <c r="W490" s="1523"/>
      <c r="X490" s="1523"/>
      <c r="Y490" s="1523"/>
      <c r="Z490" s="1523"/>
      <c r="AA490" s="1523"/>
      <c r="AB490" s="1523"/>
      <c r="AC490" s="1523"/>
      <c r="AD490" s="1523"/>
      <c r="AE490" s="1523"/>
      <c r="AF490" s="1523"/>
      <c r="AG490" s="1523"/>
      <c r="AH490" s="1523"/>
      <c r="AI490" s="1523"/>
      <c r="AJ490" s="1523"/>
      <c r="AK490" s="169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69" t="s">
        <v>677</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2">
        <v>0</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2">
        <v>0</v>
      </c>
      <c r="R493" s="1362"/>
      <c r="S493" s="1362"/>
      <c r="T493" s="1362"/>
      <c r="U493" s="1362"/>
      <c r="V493" s="1362"/>
      <c r="W493" s="1362"/>
      <c r="X493" s="1362"/>
      <c r="Y493" s="1362"/>
      <c r="Z493" s="1362"/>
      <c r="AA493" s="1362"/>
      <c r="AB493" s="1362"/>
      <c r="AC493" s="1362"/>
      <c r="AD493" s="1362"/>
      <c r="AE493" s="1362"/>
      <c r="AF493" s="1362"/>
      <c r="AG493" s="1362"/>
      <c r="AH493" s="1362"/>
      <c r="AI493" s="1362"/>
      <c r="AJ493" s="1362"/>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2">
        <v>80</v>
      </c>
      <c r="R494" s="1362"/>
      <c r="S494" s="1362"/>
      <c r="T494" s="1362"/>
      <c r="U494" s="1362"/>
      <c r="V494" s="1362"/>
      <c r="W494" s="1362"/>
      <c r="X494" s="1362"/>
      <c r="Y494" s="1362"/>
      <c r="Z494" s="1362"/>
      <c r="AA494" s="1362"/>
      <c r="AB494" s="1362"/>
      <c r="AC494" s="1362"/>
      <c r="AD494" s="1362"/>
      <c r="AE494" s="1362"/>
      <c r="AF494" s="1362"/>
      <c r="AG494" s="1362"/>
      <c r="AH494" s="1362"/>
      <c r="AI494" s="1362"/>
      <c r="AJ494" s="1362"/>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72">
        <v>80</v>
      </c>
      <c r="N495" s="1473"/>
      <c r="O495" s="1473"/>
      <c r="P495" s="1474"/>
      <c r="Q495" s="121" t="s">
        <v>1782</v>
      </c>
      <c r="R495" s="5"/>
      <c r="S495" s="5"/>
      <c r="T495" s="5"/>
      <c r="U495" s="5"/>
      <c r="V495" s="5"/>
      <c r="W495" s="5"/>
      <c r="X495" s="5"/>
      <c r="Y495" s="5"/>
      <c r="Z495" s="5"/>
      <c r="AA495" s="5"/>
      <c r="AB495" s="5"/>
      <c r="AC495" s="5"/>
      <c r="AD495" s="5"/>
      <c r="AE495" s="5"/>
      <c r="AF495" s="5"/>
      <c r="AG495" s="5"/>
      <c r="AH495" s="1472">
        <v>0</v>
      </c>
      <c r="AI495" s="1473"/>
      <c r="AJ495" s="1473"/>
      <c r="AK495" s="147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75" t="s">
        <v>401</v>
      </c>
      <c r="AD499" s="1411"/>
      <c r="AE499" s="1411"/>
      <c r="AF499" s="1411"/>
      <c r="AG499" s="1411"/>
      <c r="AH499" s="1411"/>
      <c r="AI499" s="1411"/>
      <c r="AJ499" s="1411"/>
      <c r="AK499" s="141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75" t="s">
        <v>402</v>
      </c>
      <c r="AD500" s="1411"/>
      <c r="AE500" s="1411"/>
      <c r="AF500" s="1411"/>
      <c r="AG500" s="50" t="s">
        <v>403</v>
      </c>
      <c r="AH500" s="1411" t="s">
        <v>404</v>
      </c>
      <c r="AI500" s="1411"/>
      <c r="AJ500" s="1411"/>
      <c r="AK500" s="141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2" t="s">
        <v>405</v>
      </c>
      <c r="C501" s="1403"/>
      <c r="D501" s="1403"/>
      <c r="E501" s="1403"/>
      <c r="F501" s="1403"/>
      <c r="G501" s="1403"/>
      <c r="H501" s="1404"/>
      <c r="I501" s="42" t="s">
        <v>406</v>
      </c>
      <c r="J501" s="42"/>
      <c r="K501" s="42"/>
      <c r="L501" s="42"/>
      <c r="M501" s="42"/>
      <c r="N501" s="42"/>
      <c r="O501" s="42"/>
      <c r="P501" s="42"/>
      <c r="Q501" s="42"/>
      <c r="R501" s="42"/>
      <c r="S501" s="42"/>
      <c r="T501" s="42"/>
      <c r="U501" s="42"/>
      <c r="V501" s="42"/>
      <c r="W501" s="42"/>
      <c r="AC501" s="1389">
        <v>2</v>
      </c>
      <c r="AD501" s="1390"/>
      <c r="AE501" s="1390"/>
      <c r="AF501" s="1390"/>
      <c r="AG501" s="13" t="s">
        <v>403</v>
      </c>
      <c r="AH501" s="1392">
        <v>2024</v>
      </c>
      <c r="AI501" s="1392"/>
      <c r="AJ501" s="1392"/>
      <c r="AK501" s="139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5"/>
      <c r="C502" s="1406"/>
      <c r="D502" s="1406"/>
      <c r="E502" s="1406"/>
      <c r="F502" s="1406"/>
      <c r="G502" s="1406"/>
      <c r="H502" s="1407"/>
      <c r="I502" s="48" t="s">
        <v>407</v>
      </c>
      <c r="J502" s="48"/>
      <c r="K502" s="48"/>
      <c r="L502" s="48"/>
      <c r="M502" s="48"/>
      <c r="N502" s="48"/>
      <c r="O502" s="48"/>
      <c r="P502" s="48"/>
      <c r="Q502" s="48"/>
      <c r="R502" s="48"/>
      <c r="S502" s="48"/>
      <c r="T502" s="48"/>
      <c r="U502" s="48"/>
      <c r="V502" s="48"/>
      <c r="W502" s="48"/>
      <c r="X502" s="48"/>
      <c r="Y502" s="48"/>
      <c r="Z502" s="48"/>
      <c r="AA502" s="48"/>
      <c r="AB502" s="48"/>
      <c r="AC502" s="1389">
        <v>11</v>
      </c>
      <c r="AD502" s="1390"/>
      <c r="AE502" s="1390"/>
      <c r="AF502" s="1390"/>
      <c r="AG502" s="38" t="s">
        <v>403</v>
      </c>
      <c r="AH502" s="1392">
        <v>2024</v>
      </c>
      <c r="AI502" s="1392"/>
      <c r="AJ502" s="1392"/>
      <c r="AK502" s="139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2" t="s">
        <v>408</v>
      </c>
      <c r="C503" s="1403"/>
      <c r="D503" s="1403"/>
      <c r="E503" s="1403"/>
      <c r="F503" s="1403"/>
      <c r="G503" s="1403"/>
      <c r="H503" s="1404"/>
      <c r="I503" s="42" t="s">
        <v>409</v>
      </c>
      <c r="J503" s="42"/>
      <c r="K503" s="42"/>
      <c r="L503" s="42"/>
      <c r="M503" s="42"/>
      <c r="N503" s="42"/>
      <c r="O503" s="42"/>
      <c r="P503" s="42"/>
      <c r="Q503" s="42"/>
      <c r="R503" s="42"/>
      <c r="S503" s="42"/>
      <c r="T503" s="42"/>
      <c r="U503" s="42"/>
      <c r="V503" s="42"/>
      <c r="W503" s="42"/>
      <c r="AC503" s="1389" t="s">
        <v>599</v>
      </c>
      <c r="AD503" s="1390"/>
      <c r="AE503" s="1390"/>
      <c r="AF503" s="1390"/>
      <c r="AG503" s="13" t="s">
        <v>403</v>
      </c>
      <c r="AH503" s="1392"/>
      <c r="AI503" s="1392"/>
      <c r="AJ503" s="1392"/>
      <c r="AK503" s="139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5"/>
      <c r="C504" s="1406"/>
      <c r="D504" s="1406"/>
      <c r="E504" s="1406"/>
      <c r="F504" s="1406"/>
      <c r="G504" s="1406"/>
      <c r="H504" s="1407"/>
      <c r="I504" t="s">
        <v>410</v>
      </c>
      <c r="AC504" s="1389" t="s">
        <v>599</v>
      </c>
      <c r="AD504" s="1390"/>
      <c r="AE504" s="1390"/>
      <c r="AF504" s="1390"/>
      <c r="AG504" s="13" t="s">
        <v>403</v>
      </c>
      <c r="AH504" s="1392"/>
      <c r="AI504" s="1392"/>
      <c r="AJ504" s="1392"/>
      <c r="AK504" s="139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5"/>
      <c r="C505" s="1406"/>
      <c r="D505" s="1406"/>
      <c r="E505" s="1406"/>
      <c r="F505" s="1406"/>
      <c r="G505" s="1406"/>
      <c r="H505" s="1407"/>
      <c r="I505" t="s">
        <v>411</v>
      </c>
      <c r="AC505" s="1389" t="s">
        <v>599</v>
      </c>
      <c r="AD505" s="1390"/>
      <c r="AE505" s="1390"/>
      <c r="AF505" s="1390"/>
      <c r="AG505" s="13" t="s">
        <v>403</v>
      </c>
      <c r="AH505" s="1392"/>
      <c r="AI505" s="1392"/>
      <c r="AJ505" s="1392"/>
      <c r="AK505" s="139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5"/>
      <c r="C506" s="1406"/>
      <c r="D506" s="1406"/>
      <c r="E506" s="1406"/>
      <c r="F506" s="1406"/>
      <c r="G506" s="1406"/>
      <c r="H506" s="1407"/>
      <c r="I506" t="s">
        <v>412</v>
      </c>
      <c r="AC506" s="1389">
        <v>1</v>
      </c>
      <c r="AD506" s="1390"/>
      <c r="AE506" s="1390"/>
      <c r="AF506" s="1390"/>
      <c r="AG506" s="13" t="s">
        <v>403</v>
      </c>
      <c r="AH506" s="1392">
        <v>2025</v>
      </c>
      <c r="AI506" s="1392"/>
      <c r="AJ506" s="1392"/>
      <c r="AK506" s="139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5"/>
      <c r="C507" s="1406"/>
      <c r="D507" s="1406"/>
      <c r="E507" s="1406"/>
      <c r="F507" s="1406"/>
      <c r="G507" s="1406"/>
      <c r="H507" s="1407"/>
      <c r="I507" s="3" t="s">
        <v>413</v>
      </c>
      <c r="AC507" s="1354">
        <v>1</v>
      </c>
      <c r="AD507" s="1355"/>
      <c r="AE507" s="1355"/>
      <c r="AF507" s="1355"/>
      <c r="AG507" s="13" t="s">
        <v>403</v>
      </c>
      <c r="AH507" s="1392">
        <v>2025</v>
      </c>
      <c r="AI507" s="1392"/>
      <c r="AJ507" s="1392"/>
      <c r="AK507" s="139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5"/>
      <c r="C508" s="1406"/>
      <c r="D508" s="1406"/>
      <c r="E508" s="1406"/>
      <c r="F508" s="1406"/>
      <c r="G508" s="1406"/>
      <c r="H508" s="1407"/>
      <c r="I508" s="931" t="s">
        <v>169</v>
      </c>
      <c r="J508" s="48"/>
      <c r="K508" s="48"/>
      <c r="L508" s="1400" t="s">
        <v>334</v>
      </c>
      <c r="M508" s="1401"/>
      <c r="N508" s="1401"/>
      <c r="O508" s="1401"/>
      <c r="P508" s="1401"/>
      <c r="Q508" s="1401"/>
      <c r="R508" s="1401"/>
      <c r="S508" s="1401"/>
      <c r="T508" s="1401"/>
      <c r="U508" s="1401"/>
      <c r="V508" s="1401"/>
      <c r="W508" s="1401"/>
      <c r="X508" s="1401"/>
      <c r="Y508" s="1401"/>
      <c r="Z508" s="1401"/>
      <c r="AA508" s="1401"/>
      <c r="AB508" s="1476"/>
      <c r="AC508" s="1389" t="s">
        <v>599</v>
      </c>
      <c r="AD508" s="1390"/>
      <c r="AE508" s="1390"/>
      <c r="AF508" s="1390"/>
      <c r="AG508" s="38" t="s">
        <v>403</v>
      </c>
      <c r="AH508" s="1392"/>
      <c r="AI508" s="1392"/>
      <c r="AJ508" s="1392"/>
      <c r="AK508" s="139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7" t="s">
        <v>1288</v>
      </c>
      <c r="AD509" s="1457"/>
      <c r="AE509" s="1457"/>
      <c r="AF509" s="1457"/>
      <c r="AG509" s="13"/>
      <c r="AH509" s="1303"/>
      <c r="AI509" s="1303"/>
      <c r="AJ509" s="1303"/>
      <c r="AK509" s="138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4"/>
      <c r="AD510" s="1355"/>
      <c r="AE510" s="1355"/>
      <c r="AF510" s="1356"/>
      <c r="AG510" s="13"/>
      <c r="AH510" s="1303"/>
      <c r="AI510" s="1303"/>
      <c r="AJ510" s="1303"/>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38"/>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2"/>
      <c r="AD512" s="1493"/>
      <c r="AE512" s="1493"/>
      <c r="AF512" s="1494"/>
      <c r="AG512" s="38"/>
      <c r="AH512" s="1495"/>
      <c r="AI512" s="1495"/>
      <c r="AJ512" s="1495"/>
      <c r="AK512" s="1496"/>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39"/>
      <c r="Y513" s="1039"/>
      <c r="Z513" s="1039"/>
      <c r="AA513" s="1039"/>
      <c r="AB513" s="1046"/>
      <c r="AC513" s="1397" t="s">
        <v>402</v>
      </c>
      <c r="AD513" s="1398"/>
      <c r="AE513" s="1398"/>
      <c r="AF513" s="1398"/>
      <c r="AG513" s="38" t="s">
        <v>403</v>
      </c>
      <c r="AH513" s="1398" t="s">
        <v>404</v>
      </c>
      <c r="AI513" s="1398"/>
      <c r="AJ513" s="1398"/>
      <c r="AK513" s="1399"/>
      <c r="AZ513" s="3"/>
      <c r="BA513" s="3"/>
      <c r="BB513" s="3"/>
      <c r="BC513" s="3"/>
      <c r="BD513" s="3"/>
      <c r="BE513" s="3"/>
      <c r="BF513" s="3"/>
      <c r="BG513" s="3"/>
      <c r="BH513" s="3"/>
      <c r="BI513" s="3"/>
      <c r="BJ513" s="3"/>
      <c r="BK513" s="3"/>
      <c r="BL513" s="3"/>
      <c r="BM513" s="3"/>
      <c r="BN513" s="3" t="s">
        <v>2413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2" t="s">
        <v>414</v>
      </c>
      <c r="C514" s="1403"/>
      <c r="D514" s="1403"/>
      <c r="E514" s="1403"/>
      <c r="F514" s="1403"/>
      <c r="G514" s="1403"/>
      <c r="H514" s="1404"/>
      <c r="I514" s="42" t="s">
        <v>415</v>
      </c>
      <c r="J514" s="42"/>
      <c r="K514" s="42"/>
      <c r="L514" s="42"/>
      <c r="M514" s="42"/>
      <c r="N514" s="42"/>
      <c r="O514" s="42"/>
      <c r="P514" s="42"/>
      <c r="Q514" s="42"/>
      <c r="R514" s="42"/>
      <c r="S514" s="42"/>
      <c r="T514" s="42"/>
      <c r="U514" s="42"/>
      <c r="V514" s="42"/>
      <c r="W514" s="42"/>
      <c r="AC514" s="1389">
        <v>2</v>
      </c>
      <c r="AD514" s="1390"/>
      <c r="AE514" s="1390"/>
      <c r="AF514" s="1390"/>
      <c r="AG514" s="13" t="s">
        <v>403</v>
      </c>
      <c r="AH514" s="1392">
        <v>2024</v>
      </c>
      <c r="AI514" s="1392"/>
      <c r="AJ514" s="1392"/>
      <c r="AK514" s="1393"/>
      <c r="AZ514" s="3"/>
      <c r="BA514" s="3"/>
      <c r="BB514" s="3"/>
      <c r="BC514" s="3"/>
      <c r="BD514" s="3"/>
      <c r="BE514" s="3"/>
      <c r="BF514" s="3"/>
      <c r="BG514" s="3"/>
      <c r="BH514" s="3"/>
      <c r="BI514" s="3"/>
      <c r="BJ514" s="3"/>
      <c r="BK514" s="3"/>
      <c r="BL514" s="3"/>
      <c r="BM514" s="3"/>
      <c r="BN514" s="3" t="s">
        <v>2414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5"/>
      <c r="C515" s="1406"/>
      <c r="D515" s="1406"/>
      <c r="E515" s="1406"/>
      <c r="F515" s="1406"/>
      <c r="G515" s="1406"/>
      <c r="H515" s="1407"/>
      <c r="I515" t="s">
        <v>416</v>
      </c>
      <c r="AC515" s="1389">
        <v>2</v>
      </c>
      <c r="AD515" s="1390"/>
      <c r="AE515" s="1390"/>
      <c r="AF515" s="1390"/>
      <c r="AG515" s="13" t="s">
        <v>403</v>
      </c>
      <c r="AH515" s="1392">
        <v>2024</v>
      </c>
      <c r="AI515" s="1392"/>
      <c r="AJ515" s="1392"/>
      <c r="AK515" s="1393"/>
      <c r="AZ515" s="3"/>
      <c r="BA515" s="3"/>
      <c r="BB515" s="3"/>
      <c r="BC515" s="3"/>
      <c r="BD515" s="3"/>
      <c r="BE515" s="3"/>
      <c r="BF515" s="3"/>
      <c r="BG515" s="3"/>
      <c r="BH515" s="3"/>
      <c r="BI515" s="3"/>
      <c r="BJ515" s="3"/>
      <c r="BK515" s="3"/>
      <c r="BL515" s="3"/>
      <c r="BM515" s="3"/>
      <c r="BN515" s="3" t="s">
        <v>2415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5"/>
      <c r="C516" s="1406"/>
      <c r="D516" s="1406"/>
      <c r="E516" s="1406"/>
      <c r="F516" s="1406"/>
      <c r="G516" s="1406"/>
      <c r="H516" s="1407"/>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392">
        <v>2025</v>
      </c>
      <c r="AI516" s="1392"/>
      <c r="AJ516" s="1392"/>
      <c r="AK516" s="1393"/>
      <c r="AZ516" s="3"/>
      <c r="BA516" s="3"/>
      <c r="BB516" s="3"/>
      <c r="BC516" s="3"/>
      <c r="BD516" s="3"/>
      <c r="BE516" s="3"/>
      <c r="BF516" s="3"/>
      <c r="BG516" s="3"/>
      <c r="BH516" s="3"/>
      <c r="BI516" s="3"/>
      <c r="BJ516" s="3"/>
      <c r="BK516" s="3"/>
      <c r="BL516" s="3"/>
      <c r="BM516" s="3"/>
      <c r="BN516" s="3" t="s">
        <v>2416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2" t="s">
        <v>418</v>
      </c>
      <c r="C517" s="1403"/>
      <c r="D517" s="1403"/>
      <c r="E517" s="1403"/>
      <c r="F517" s="1403"/>
      <c r="G517" s="1403"/>
      <c r="H517" s="1404"/>
      <c r="I517" s="42" t="s">
        <v>415</v>
      </c>
      <c r="J517" s="42"/>
      <c r="K517" s="42"/>
      <c r="L517" s="42"/>
      <c r="M517" s="42"/>
      <c r="N517" s="42"/>
      <c r="O517" s="42"/>
      <c r="P517" s="42"/>
      <c r="Q517" s="42"/>
      <c r="R517" s="42"/>
      <c r="S517" s="42"/>
      <c r="T517" s="42"/>
      <c r="U517" s="42"/>
      <c r="V517" s="42"/>
      <c r="W517" s="42"/>
      <c r="X517" s="42"/>
      <c r="Y517" s="42"/>
      <c r="Z517" s="42"/>
      <c r="AA517" s="42"/>
      <c r="AB517" s="42"/>
      <c r="AC517" s="1354">
        <v>2</v>
      </c>
      <c r="AD517" s="1355"/>
      <c r="AE517" s="1355"/>
      <c r="AF517" s="1355"/>
      <c r="AG517" s="129" t="s">
        <v>403</v>
      </c>
      <c r="AH517" s="1392">
        <v>2024</v>
      </c>
      <c r="AI517" s="1392"/>
      <c r="AJ517" s="1392"/>
      <c r="AK517" s="1393"/>
      <c r="AZ517" s="3"/>
      <c r="BB517" s="3"/>
      <c r="BC517" s="3"/>
      <c r="BD517" s="3"/>
      <c r="BE517" s="3"/>
      <c r="BF517" s="3"/>
      <c r="BG517" s="3"/>
      <c r="BH517" s="3"/>
      <c r="BI517" s="3"/>
      <c r="BJ517" s="3"/>
      <c r="BK517" s="3"/>
      <c r="BL517" s="3"/>
      <c r="BM517" s="3"/>
      <c r="BN517" s="3" t="s">
        <v>2417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5"/>
      <c r="C518" s="1406"/>
      <c r="D518" s="1406"/>
      <c r="E518" s="1406"/>
      <c r="F518" s="1406"/>
      <c r="G518" s="1406"/>
      <c r="H518" s="1407"/>
      <c r="I518" t="s">
        <v>416</v>
      </c>
      <c r="AC518" s="1389">
        <v>3</v>
      </c>
      <c r="AD518" s="1390"/>
      <c r="AE518" s="1390"/>
      <c r="AF518" s="1390"/>
      <c r="AG518" s="13" t="s">
        <v>403</v>
      </c>
      <c r="AH518" s="1392">
        <v>2024</v>
      </c>
      <c r="AI518" s="1392"/>
      <c r="AJ518" s="1392"/>
      <c r="AK518" s="1393"/>
      <c r="BB518" s="3"/>
      <c r="BC518" s="3"/>
      <c r="BD518" s="3"/>
      <c r="BE518" s="3"/>
      <c r="BF518" s="3"/>
      <c r="BG518" s="3"/>
      <c r="BH518" s="3"/>
      <c r="BI518" s="3"/>
      <c r="BJ518" s="3"/>
      <c r="BK518" s="3"/>
      <c r="BL518" s="3"/>
      <c r="BM518" s="3"/>
      <c r="BN518" s="3" t="s">
        <v>2418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8"/>
      <c r="C519" s="1409"/>
      <c r="D519" s="1409"/>
      <c r="E519" s="1409"/>
      <c r="F519" s="1409"/>
      <c r="G519" s="1409"/>
      <c r="H519" s="1410"/>
      <c r="I519" s="48" t="s">
        <v>417</v>
      </c>
      <c r="J519" s="48"/>
      <c r="K519" s="48"/>
      <c r="L519" s="48"/>
      <c r="M519" s="48"/>
      <c r="N519" s="48"/>
      <c r="O519" s="48"/>
      <c r="P519" s="48"/>
      <c r="Q519" s="48"/>
      <c r="R519" s="48"/>
      <c r="S519" s="48"/>
      <c r="T519" s="48"/>
      <c r="U519" s="48"/>
      <c r="V519" s="48"/>
      <c r="W519" s="48"/>
      <c r="X519" s="48"/>
      <c r="Y519" s="48"/>
      <c r="Z519" s="48"/>
      <c r="AA519" s="48"/>
      <c r="AB519" s="48"/>
      <c r="AC519" s="1389">
        <v>2</v>
      </c>
      <c r="AD519" s="1390"/>
      <c r="AE519" s="1390"/>
      <c r="AF519" s="1390"/>
      <c r="AG519" s="38" t="s">
        <v>403</v>
      </c>
      <c r="AH519" s="1392">
        <v>2025</v>
      </c>
      <c r="AI519" s="1392"/>
      <c r="AJ519" s="1392"/>
      <c r="AK519" s="1393"/>
      <c r="BB519" s="3"/>
      <c r="BC519" s="3"/>
      <c r="BD519" s="3"/>
      <c r="BE519" s="3"/>
      <c r="BF519" s="3"/>
      <c r="BG519" s="3"/>
      <c r="BH519" s="3"/>
      <c r="BI519" s="3"/>
      <c r="BJ519" s="3"/>
      <c r="BK519" s="3"/>
      <c r="BL519" s="3"/>
      <c r="BM519" s="3"/>
      <c r="BN519" s="3" t="s">
        <v>2419</v>
      </c>
      <c r="BO519" s="3"/>
      <c r="BP519" s="3"/>
      <c r="BQ519" s="3"/>
      <c r="BR519" s="3"/>
      <c r="BS519" s="3"/>
      <c r="BT519" s="3"/>
      <c r="BU519" s="3"/>
      <c r="BV519" s="378" t="s">
        <v>64</v>
      </c>
      <c r="BW519" s="498">
        <v>2512</v>
      </c>
      <c r="BX519" s="499">
        <v>2690</v>
      </c>
      <c r="BY519" s="498">
        <v>3230</v>
      </c>
      <c r="BZ519" s="499">
        <v>3730</v>
      </c>
      <c r="CA519" s="499">
        <v>4162</v>
      </c>
      <c r="CB519" s="500">
        <v>4592</v>
      </c>
      <c r="CC519" s="34"/>
      <c r="CD519" s="1073">
        <v>1939</v>
      </c>
      <c r="CE519" s="1073">
        <v>2113</v>
      </c>
      <c r="CF519" s="1073">
        <v>2539</v>
      </c>
      <c r="CG519" s="1073">
        <v>3448</v>
      </c>
      <c r="CH519" s="1073">
        <v>4032</v>
      </c>
      <c r="CI519" s="3"/>
      <c r="CJ519" s="3"/>
      <c r="CK519" s="3"/>
      <c r="CL519" s="3"/>
      <c r="CM519" s="3"/>
      <c r="CN519" s="3"/>
      <c r="CO519" s="3"/>
      <c r="CP519" s="3"/>
      <c r="CQ519" s="3"/>
      <c r="CR519" s="3"/>
      <c r="CS519" s="3"/>
      <c r="CT519" s="3"/>
    </row>
    <row r="520" spans="2:110" ht="12.95" customHeight="1">
      <c r="B520" s="1402" t="s">
        <v>419</v>
      </c>
      <c r="C520" s="1403"/>
      <c r="D520" s="1403"/>
      <c r="E520" s="1403"/>
      <c r="F520" s="1403"/>
      <c r="G520" s="1403"/>
      <c r="H520" s="1404"/>
      <c r="I520" s="41" t="s">
        <v>420</v>
      </c>
      <c r="J520" s="42"/>
      <c r="K520" s="42"/>
      <c r="L520" s="42"/>
      <c r="M520" s="42"/>
      <c r="N520" s="42"/>
      <c r="O520" s="1400" t="s">
        <v>2712</v>
      </c>
      <c r="P520" s="1401"/>
      <c r="Q520" s="1401"/>
      <c r="R520" s="1401"/>
      <c r="S520" s="1401"/>
      <c r="T520" s="1401"/>
      <c r="U520" s="1401"/>
      <c r="V520" s="1401"/>
      <c r="W520" s="1401"/>
      <c r="X520" s="1401"/>
      <c r="Y520" s="1401"/>
      <c r="Z520" s="1401"/>
      <c r="AA520" s="1401"/>
      <c r="AB520" s="58"/>
      <c r="AC520" s="1354" t="s">
        <v>599</v>
      </c>
      <c r="AD520" s="1355"/>
      <c r="AE520" s="1355"/>
      <c r="AF520" s="1355"/>
      <c r="AG520" s="129" t="s">
        <v>403</v>
      </c>
      <c r="AH520" s="1392"/>
      <c r="AI520" s="1392"/>
      <c r="AJ520" s="1392"/>
      <c r="AK520" s="1393"/>
      <c r="AZ520" s="3"/>
      <c r="BB520" s="3"/>
      <c r="BC520" s="3"/>
      <c r="BD520" s="3"/>
      <c r="BE520" s="3"/>
      <c r="BF520" s="3"/>
      <c r="BG520" s="3"/>
      <c r="BH520" s="3"/>
      <c r="BI520" s="3"/>
      <c r="BJ520" s="3"/>
      <c r="BK520" s="3"/>
      <c r="BL520" s="3"/>
      <c r="BM520" s="3"/>
      <c r="BN520" s="3" t="s">
        <v>2420</v>
      </c>
      <c r="BO520" s="3"/>
      <c r="BP520" s="3"/>
      <c r="BQ520" s="3"/>
      <c r="BR520" s="3"/>
      <c r="BS520" s="3"/>
      <c r="BT520" s="3"/>
      <c r="BU520" s="3"/>
      <c r="BV520" s="378" t="s">
        <v>65</v>
      </c>
      <c r="BW520" s="498">
        <v>1876</v>
      </c>
      <c r="BX520" s="499">
        <v>2010</v>
      </c>
      <c r="BY520" s="498">
        <v>2412</v>
      </c>
      <c r="BZ520" s="499">
        <v>2786</v>
      </c>
      <c r="CA520" s="499">
        <v>3110</v>
      </c>
      <c r="CB520" s="500">
        <v>3432</v>
      </c>
      <c r="CC520" s="34"/>
      <c r="CD520" s="1073">
        <v>1277</v>
      </c>
      <c r="CE520" s="1073">
        <v>1400</v>
      </c>
      <c r="CF520" s="1073">
        <v>1756</v>
      </c>
      <c r="CG520" s="1073">
        <v>2496</v>
      </c>
      <c r="CH520" s="1073">
        <v>2907</v>
      </c>
      <c r="CI520" s="3"/>
      <c r="CJ520" s="3"/>
      <c r="CK520" s="3"/>
      <c r="CL520" s="3"/>
      <c r="CM520" s="3"/>
      <c r="CN520" s="3"/>
      <c r="CO520" s="3"/>
      <c r="CP520" s="3"/>
      <c r="CQ520" s="3"/>
      <c r="CR520" s="3"/>
      <c r="CS520" s="3"/>
      <c r="CT520" s="3"/>
    </row>
    <row r="521" spans="2:110" ht="12.95" customHeight="1">
      <c r="B521" s="1405"/>
      <c r="C521" s="1406"/>
      <c r="D521" s="1406"/>
      <c r="E521" s="1406"/>
      <c r="F521" s="1406"/>
      <c r="G521" s="1406"/>
      <c r="H521" s="1407"/>
      <c r="I521" s="114" t="s">
        <v>421</v>
      </c>
      <c r="AB521" s="65"/>
      <c r="AC521" s="1389">
        <v>2</v>
      </c>
      <c r="AD521" s="1390"/>
      <c r="AE521" s="1390"/>
      <c r="AF521" s="1390"/>
      <c r="AG521" s="13" t="s">
        <v>403</v>
      </c>
      <c r="AH521" s="1392">
        <v>2024</v>
      </c>
      <c r="AI521" s="1392"/>
      <c r="AJ521" s="1392"/>
      <c r="AK521" s="1393"/>
      <c r="AZ521" s="3"/>
      <c r="BB521" s="3"/>
      <c r="BC521" s="3"/>
      <c r="BD521" s="3"/>
      <c r="BE521" s="3"/>
      <c r="BF521" s="3"/>
      <c r="BG521" s="3"/>
      <c r="BH521" s="3"/>
      <c r="BI521" s="3"/>
      <c r="BJ521" s="3"/>
      <c r="BK521" s="3"/>
      <c r="BL521" s="3"/>
      <c r="BM521" s="3"/>
      <c r="BN521" s="3" t="s">
        <v>2421</v>
      </c>
      <c r="BO521" s="3"/>
      <c r="BP521" s="3"/>
      <c r="BQ521" s="3"/>
      <c r="BR521" s="3"/>
      <c r="BS521" s="3"/>
      <c r="BT521" s="3"/>
      <c r="BU521" s="3"/>
      <c r="BV521" s="378" t="s">
        <v>66</v>
      </c>
      <c r="BW521" s="498">
        <v>1466</v>
      </c>
      <c r="BX521" s="499">
        <v>1572</v>
      </c>
      <c r="BY521" s="498">
        <v>1886</v>
      </c>
      <c r="BZ521" s="499">
        <v>2180</v>
      </c>
      <c r="CA521" s="499">
        <v>2432</v>
      </c>
      <c r="CB521" s="500">
        <v>2682</v>
      </c>
      <c r="CC521" s="34"/>
      <c r="CD521" s="1073">
        <v>681</v>
      </c>
      <c r="CE521" s="1073">
        <v>772</v>
      </c>
      <c r="CF521" s="1073">
        <v>1000</v>
      </c>
      <c r="CG521" s="1073">
        <v>1421</v>
      </c>
      <c r="CH521" s="1073">
        <v>1634</v>
      </c>
      <c r="CI521" s="3"/>
      <c r="CJ521" s="3"/>
      <c r="CK521" s="3"/>
      <c r="CL521" s="3"/>
      <c r="CM521" s="3"/>
      <c r="CN521" s="3"/>
      <c r="CO521" s="3"/>
      <c r="CP521" s="3"/>
      <c r="CQ521" s="3"/>
      <c r="CR521" s="3"/>
      <c r="CS521" s="3"/>
      <c r="CT521" s="3"/>
    </row>
    <row r="522" spans="2:110" ht="12.95" customHeight="1">
      <c r="B522" s="1405"/>
      <c r="C522" s="1406"/>
      <c r="D522" s="1406"/>
      <c r="E522" s="1406"/>
      <c r="F522" s="1406"/>
      <c r="G522" s="1406"/>
      <c r="H522" s="1407"/>
      <c r="I522" s="47" t="s">
        <v>422</v>
      </c>
      <c r="J522" s="48"/>
      <c r="K522" s="48"/>
      <c r="L522" s="48"/>
      <c r="M522" s="48"/>
      <c r="N522" s="48"/>
      <c r="O522" s="48"/>
      <c r="P522" s="48"/>
      <c r="Q522" s="48"/>
      <c r="R522" s="48"/>
      <c r="S522" s="48"/>
      <c r="T522" s="48"/>
      <c r="U522" s="48"/>
      <c r="V522" s="48"/>
      <c r="W522" s="48"/>
      <c r="X522" s="48"/>
      <c r="Y522" s="48"/>
      <c r="Z522" s="48"/>
      <c r="AA522" s="48"/>
      <c r="AB522" s="49"/>
      <c r="AC522" s="1389">
        <v>3</v>
      </c>
      <c r="AD522" s="1390"/>
      <c r="AE522" s="1390"/>
      <c r="AF522" s="1390"/>
      <c r="AG522" s="38" t="s">
        <v>403</v>
      </c>
      <c r="AH522" s="1392">
        <v>2024</v>
      </c>
      <c r="AI522" s="1392"/>
      <c r="AJ522" s="1392"/>
      <c r="AK522" s="1393"/>
      <c r="AZ522" s="3"/>
      <c r="BA522" s="3"/>
      <c r="BB522" s="3"/>
      <c r="BC522" s="3"/>
      <c r="BD522" s="3"/>
      <c r="BE522" s="3"/>
      <c r="BF522" s="3"/>
      <c r="BG522" s="3"/>
      <c r="BH522" s="3"/>
      <c r="BI522" s="3"/>
      <c r="BJ522" s="3"/>
      <c r="BK522" s="3"/>
      <c r="BL522" s="3"/>
      <c r="BM522" s="3"/>
      <c r="BN522" s="3" t="s">
        <v>2422</v>
      </c>
      <c r="BO522" s="3"/>
      <c r="BP522" s="3"/>
      <c r="BQ522" s="3"/>
      <c r="BR522" s="3"/>
      <c r="BS522" s="3"/>
      <c r="BT522" s="3"/>
      <c r="BU522" s="3"/>
      <c r="BV522" s="378" t="s">
        <v>67</v>
      </c>
      <c r="BW522" s="498">
        <v>1632</v>
      </c>
      <c r="BX522" s="499">
        <v>1748</v>
      </c>
      <c r="BY522" s="498">
        <v>2096</v>
      </c>
      <c r="BZ522" s="499">
        <v>2422</v>
      </c>
      <c r="CA522" s="499">
        <v>2704</v>
      </c>
      <c r="CB522" s="500">
        <v>2982</v>
      </c>
      <c r="CC522" s="34"/>
      <c r="CD522" s="1073">
        <v>1281</v>
      </c>
      <c r="CE522" s="1073">
        <v>1398</v>
      </c>
      <c r="CF522" s="1073">
        <v>1751</v>
      </c>
      <c r="CG522" s="1073">
        <v>2376</v>
      </c>
      <c r="CH522" s="1073">
        <v>2922</v>
      </c>
      <c r="CI522" s="3"/>
      <c r="CJ522" s="3"/>
      <c r="CK522" s="3"/>
      <c r="CL522" s="3"/>
      <c r="CM522" s="3"/>
      <c r="CN522" s="3"/>
      <c r="CO522" s="3"/>
      <c r="CP522" s="3"/>
      <c r="CQ522" s="3"/>
      <c r="CR522" s="3"/>
      <c r="CS522" s="3"/>
      <c r="CT522" s="3"/>
    </row>
    <row r="523" spans="2:110" ht="12.95" customHeight="1">
      <c r="B523" s="1405"/>
      <c r="C523" s="1406"/>
      <c r="D523" s="1406"/>
      <c r="E523" s="1406"/>
      <c r="F523" s="1406"/>
      <c r="G523" s="1406"/>
      <c r="H523" s="1407"/>
      <c r="I523" s="42" t="s">
        <v>423</v>
      </c>
      <c r="J523" s="42"/>
      <c r="K523" s="42"/>
      <c r="L523" s="42"/>
      <c r="M523" s="42"/>
      <c r="N523" s="42"/>
      <c r="O523" s="1400" t="s">
        <v>334</v>
      </c>
      <c r="P523" s="1401"/>
      <c r="Q523" s="1401"/>
      <c r="R523" s="1401"/>
      <c r="S523" s="1401"/>
      <c r="T523" s="1401"/>
      <c r="U523" s="1401"/>
      <c r="V523" s="1401"/>
      <c r="W523" s="1401"/>
      <c r="X523" s="1401"/>
      <c r="Y523" s="1401"/>
      <c r="Z523" s="1401"/>
      <c r="AA523" s="1401"/>
      <c r="AC523" s="1389" t="s">
        <v>599</v>
      </c>
      <c r="AD523" s="1390"/>
      <c r="AE523" s="1390"/>
      <c r="AF523" s="1390"/>
      <c r="AG523" s="13" t="s">
        <v>403</v>
      </c>
      <c r="AH523" s="1392"/>
      <c r="AI523" s="1392"/>
      <c r="AJ523" s="1392"/>
      <c r="AK523" s="1393"/>
      <c r="AZ523" s="3"/>
      <c r="BA523" s="3"/>
      <c r="BB523" s="3"/>
      <c r="BC523" s="3"/>
      <c r="BD523" s="3"/>
      <c r="BE523" s="3"/>
      <c r="BF523" s="3"/>
      <c r="BG523" s="3"/>
      <c r="BH523" s="3"/>
      <c r="BI523" s="3"/>
      <c r="BJ523" s="3"/>
      <c r="BK523" s="3"/>
      <c r="BL523" s="3"/>
      <c r="BM523" s="3"/>
      <c r="BN523" s="3" t="s">
        <v>2423</v>
      </c>
      <c r="BO523" s="3"/>
      <c r="BP523" s="3"/>
      <c r="BQ523" s="3"/>
      <c r="BR523" s="3"/>
      <c r="BS523" s="3"/>
      <c r="BT523" s="3"/>
      <c r="BU523" s="3"/>
      <c r="BV523" s="378" t="s">
        <v>68</v>
      </c>
      <c r="BW523" s="498">
        <v>1876</v>
      </c>
      <c r="BX523" s="499">
        <v>2010</v>
      </c>
      <c r="BY523" s="498">
        <v>2412</v>
      </c>
      <c r="BZ523" s="499">
        <v>2786</v>
      </c>
      <c r="CA523" s="499">
        <v>3110</v>
      </c>
      <c r="CB523" s="500">
        <v>3432</v>
      </c>
      <c r="CC523" s="34"/>
      <c r="CD523" s="1073">
        <v>1277</v>
      </c>
      <c r="CE523" s="1073">
        <v>1400</v>
      </c>
      <c r="CF523" s="1073">
        <v>1756</v>
      </c>
      <c r="CG523" s="1073">
        <v>2496</v>
      </c>
      <c r="CH523" s="1073">
        <v>2907</v>
      </c>
      <c r="CI523" s="3"/>
      <c r="CJ523" s="3"/>
      <c r="CK523" s="3"/>
      <c r="CL523" s="3"/>
      <c r="CM523" s="3"/>
      <c r="CN523" s="3"/>
      <c r="CO523" s="3"/>
      <c r="CP523" s="3"/>
      <c r="CQ523" s="3"/>
      <c r="CR523" s="3"/>
      <c r="CS523" s="3"/>
      <c r="CT523" s="3"/>
    </row>
    <row r="524" spans="2:110" ht="12.95" customHeight="1">
      <c r="B524" s="1405"/>
      <c r="C524" s="1406"/>
      <c r="D524" s="1406"/>
      <c r="E524" s="1406"/>
      <c r="F524" s="1406"/>
      <c r="G524" s="1406"/>
      <c r="H524" s="1407"/>
      <c r="I524" t="s">
        <v>421</v>
      </c>
      <c r="AC524" s="1389" t="s">
        <v>599</v>
      </c>
      <c r="AD524" s="1390"/>
      <c r="AE524" s="1390"/>
      <c r="AF524" s="1390"/>
      <c r="AG524" s="13" t="s">
        <v>403</v>
      </c>
      <c r="AH524" s="1392"/>
      <c r="AI524" s="1392"/>
      <c r="AJ524" s="1392"/>
      <c r="AK524" s="1393"/>
      <c r="AZ524" s="3"/>
      <c r="BA524" s="3"/>
      <c r="BB524" s="3"/>
      <c r="BC524" s="3"/>
      <c r="BD524" s="3"/>
      <c r="BE524" s="3"/>
      <c r="BF524" s="3"/>
      <c r="BG524" s="3"/>
      <c r="BH524" s="3"/>
      <c r="BI524" s="3"/>
      <c r="BJ524" s="3"/>
      <c r="BK524" s="3"/>
      <c r="BL524" s="3"/>
      <c r="BM524" s="3"/>
      <c r="BN524" s="3" t="s">
        <v>2424</v>
      </c>
      <c r="BO524" s="3"/>
      <c r="BP524" s="3"/>
      <c r="BQ524" s="3"/>
      <c r="BR524" s="3"/>
      <c r="BS524" s="3"/>
      <c r="BT524" s="3"/>
      <c r="BU524" s="3"/>
      <c r="BV524" s="378" t="s">
        <v>736</v>
      </c>
      <c r="BW524" s="498">
        <v>1950</v>
      </c>
      <c r="BX524" s="499">
        <v>2088</v>
      </c>
      <c r="BY524" s="498">
        <v>2504</v>
      </c>
      <c r="BZ524" s="499">
        <v>2894</v>
      </c>
      <c r="CA524" s="499">
        <v>3230</v>
      </c>
      <c r="CB524" s="500">
        <v>3562</v>
      </c>
      <c r="CC524" s="34"/>
      <c r="CD524" s="1073">
        <v>1441</v>
      </c>
      <c r="CE524" s="1073">
        <v>1637</v>
      </c>
      <c r="CF524" s="1073">
        <v>2155</v>
      </c>
      <c r="CG524" s="1073">
        <v>3063</v>
      </c>
      <c r="CH524" s="1073">
        <v>3671</v>
      </c>
      <c r="CI524" s="3"/>
      <c r="CJ524" s="3"/>
      <c r="CK524" s="3"/>
      <c r="CL524" s="3"/>
      <c r="CM524" s="3"/>
      <c r="CN524" s="3"/>
      <c r="CO524" s="3"/>
      <c r="CP524" s="3"/>
      <c r="CQ524" s="3"/>
      <c r="CR524" s="3"/>
      <c r="CS524" s="3"/>
      <c r="CT524" s="3"/>
    </row>
    <row r="525" spans="2:110" ht="12.95" customHeight="1">
      <c r="B525" s="1405"/>
      <c r="C525" s="1406"/>
      <c r="D525" s="1406"/>
      <c r="E525" s="1406"/>
      <c r="F525" s="1406"/>
      <c r="G525" s="1406"/>
      <c r="H525" s="1407"/>
      <c r="I525" s="48" t="s">
        <v>422</v>
      </c>
      <c r="J525" s="48"/>
      <c r="K525" s="48"/>
      <c r="L525" s="48"/>
      <c r="M525" s="48"/>
      <c r="N525" s="48"/>
      <c r="O525" s="48"/>
      <c r="P525" s="48"/>
      <c r="Q525" s="48"/>
      <c r="R525" s="48"/>
      <c r="S525" s="48"/>
      <c r="T525" s="48"/>
      <c r="U525" s="48"/>
      <c r="V525" s="48"/>
      <c r="W525" s="48"/>
      <c r="X525" s="48"/>
      <c r="Y525" s="48"/>
      <c r="Z525" s="48"/>
      <c r="AA525" s="48"/>
      <c r="AB525" s="48"/>
      <c r="AC525" s="1389" t="s">
        <v>599</v>
      </c>
      <c r="AD525" s="1390"/>
      <c r="AE525" s="1390"/>
      <c r="AF525" s="1390"/>
      <c r="AG525" s="38" t="s">
        <v>403</v>
      </c>
      <c r="AH525" s="1392"/>
      <c r="AI525" s="1392"/>
      <c r="AJ525" s="1392"/>
      <c r="AK525" s="1393"/>
      <c r="AZ525" s="3"/>
      <c r="BA525" s="3"/>
      <c r="BB525" s="3"/>
      <c r="BC525" s="3"/>
      <c r="BD525" s="3"/>
      <c r="BE525" s="3"/>
      <c r="BF525" s="3"/>
      <c r="BG525" s="3"/>
      <c r="BH525" s="3"/>
      <c r="BI525" s="3"/>
      <c r="BJ525" s="3"/>
      <c r="BK525" s="3"/>
      <c r="BL525" s="3"/>
      <c r="BM525" s="3"/>
      <c r="BN525" s="3" t="s">
        <v>2425</v>
      </c>
      <c r="BO525" s="3"/>
      <c r="BP525" s="3"/>
      <c r="BQ525" s="3"/>
      <c r="BR525" s="3"/>
      <c r="BS525" s="3"/>
      <c r="BT525" s="3"/>
      <c r="BU525" s="3"/>
      <c r="BV525" s="378" t="s">
        <v>737</v>
      </c>
      <c r="BW525" s="498">
        <v>1632</v>
      </c>
      <c r="BX525" s="499">
        <v>1748</v>
      </c>
      <c r="BY525" s="498">
        <v>2096</v>
      </c>
      <c r="BZ525" s="499">
        <v>2422</v>
      </c>
      <c r="CA525" s="499">
        <v>2704</v>
      </c>
      <c r="CB525" s="500">
        <v>2982</v>
      </c>
      <c r="CC525" s="34"/>
      <c r="CD525" s="1073">
        <v>1281</v>
      </c>
      <c r="CE525" s="1073">
        <v>1398</v>
      </c>
      <c r="CF525" s="1073">
        <v>1751</v>
      </c>
      <c r="CG525" s="1073">
        <v>2376</v>
      </c>
      <c r="CH525" s="1073">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5"/>
      <c r="C526" s="1406"/>
      <c r="D526" s="1406"/>
      <c r="E526" s="1406"/>
      <c r="F526" s="1406"/>
      <c r="G526" s="1406"/>
      <c r="H526" s="1407"/>
      <c r="I526" s="42" t="s">
        <v>423</v>
      </c>
      <c r="J526" s="42"/>
      <c r="K526" s="42"/>
      <c r="L526" s="42"/>
      <c r="M526" s="42"/>
      <c r="N526" s="42"/>
      <c r="O526" s="1400" t="s">
        <v>334</v>
      </c>
      <c r="P526" s="1401"/>
      <c r="Q526" s="1401"/>
      <c r="R526" s="1401"/>
      <c r="S526" s="1401"/>
      <c r="T526" s="1401"/>
      <c r="U526" s="1401"/>
      <c r="V526" s="1401"/>
      <c r="W526" s="1401"/>
      <c r="X526" s="1401"/>
      <c r="Y526" s="1401"/>
      <c r="Z526" s="1401"/>
      <c r="AA526" s="1401"/>
      <c r="AC526" s="1389" t="s">
        <v>599</v>
      </c>
      <c r="AD526" s="1390"/>
      <c r="AE526" s="1390"/>
      <c r="AF526" s="1390"/>
      <c r="AG526" s="13" t="s">
        <v>403</v>
      </c>
      <c r="AH526" s="1392"/>
      <c r="AI526" s="1392"/>
      <c r="AJ526" s="1392"/>
      <c r="AK526" s="1393"/>
      <c r="AZ526" s="3"/>
      <c r="BA526" s="3"/>
      <c r="BB526" s="3"/>
      <c r="BC526" s="3"/>
      <c r="BD526" s="3"/>
      <c r="BE526" s="3"/>
      <c r="BF526" s="3"/>
      <c r="BG526" s="3"/>
      <c r="BH526" s="3"/>
      <c r="BI526" s="3"/>
      <c r="BJ526" s="3"/>
      <c r="BK526" s="3"/>
      <c r="BL526" s="3"/>
      <c r="BM526" s="3"/>
      <c r="BN526" s="3" t="s">
        <v>2426</v>
      </c>
      <c r="BO526" s="3"/>
      <c r="BP526" s="3"/>
      <c r="BQ526" s="3"/>
      <c r="BR526" s="3"/>
      <c r="BS526" s="3"/>
      <c r="BT526" s="3"/>
      <c r="BU526" s="3"/>
      <c r="BV526" s="378" t="s">
        <v>738</v>
      </c>
      <c r="BW526" s="498">
        <v>2412</v>
      </c>
      <c r="BX526" s="499">
        <v>2584</v>
      </c>
      <c r="BY526" s="498">
        <v>3102</v>
      </c>
      <c r="BZ526" s="499">
        <v>3582</v>
      </c>
      <c r="CA526" s="499">
        <v>3996</v>
      </c>
      <c r="CB526" s="500">
        <v>4410</v>
      </c>
      <c r="CC526" s="34"/>
      <c r="CD526" s="1073">
        <v>1714</v>
      </c>
      <c r="CE526" s="1073">
        <v>1885</v>
      </c>
      <c r="CF526" s="1073">
        <v>2399</v>
      </c>
      <c r="CG526" s="1073">
        <v>3279</v>
      </c>
      <c r="CH526" s="1073">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5"/>
      <c r="C527" s="1406"/>
      <c r="D527" s="1406"/>
      <c r="E527" s="1406"/>
      <c r="F527" s="1406"/>
      <c r="G527" s="1406"/>
      <c r="H527" s="1407"/>
      <c r="I527" t="s">
        <v>421</v>
      </c>
      <c r="AC527" s="1389" t="s">
        <v>599</v>
      </c>
      <c r="AD527" s="1390"/>
      <c r="AE527" s="1390"/>
      <c r="AF527" s="1390"/>
      <c r="AG527" s="13" t="s">
        <v>403</v>
      </c>
      <c r="AH527" s="1392"/>
      <c r="AI527" s="1392"/>
      <c r="AJ527" s="1392"/>
      <c r="AK527" s="1393"/>
      <c r="AZ527" s="3"/>
      <c r="BA527" s="3"/>
      <c r="BB527" s="3"/>
      <c r="BC527" s="3"/>
      <c r="BD527" s="3"/>
      <c r="BE527" s="3"/>
      <c r="BF527" s="3"/>
      <c r="BG527" s="3"/>
      <c r="BH527" s="3"/>
      <c r="BI527" s="3"/>
      <c r="BJ527" s="3"/>
      <c r="BK527" s="3"/>
      <c r="BL527" s="3"/>
      <c r="BM527" s="3"/>
      <c r="BN527" s="3" t="s">
        <v>2427</v>
      </c>
      <c r="BO527" s="3"/>
      <c r="BP527" s="3"/>
      <c r="BQ527" s="3"/>
      <c r="BR527" s="3"/>
      <c r="BS527" s="3"/>
      <c r="BT527" s="3"/>
      <c r="BU527" s="3"/>
      <c r="BV527" s="378" t="s">
        <v>739</v>
      </c>
      <c r="BW527" s="498">
        <v>3252</v>
      </c>
      <c r="BX527" s="499">
        <v>3484</v>
      </c>
      <c r="BY527" s="498">
        <v>4182</v>
      </c>
      <c r="BZ527" s="499">
        <v>4830</v>
      </c>
      <c r="CA527" s="499">
        <v>5390</v>
      </c>
      <c r="CB527" s="500">
        <v>5946</v>
      </c>
      <c r="CC527" s="34"/>
      <c r="CD527" s="1073">
        <v>2156</v>
      </c>
      <c r="CE527" s="1073">
        <v>2665</v>
      </c>
      <c r="CF527" s="1073">
        <v>3188</v>
      </c>
      <c r="CG527" s="1073">
        <v>3912</v>
      </c>
      <c r="CH527" s="1073">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5"/>
      <c r="C528" s="1406"/>
      <c r="D528" s="1406"/>
      <c r="E528" s="1406"/>
      <c r="F528" s="1406"/>
      <c r="G528" s="1406"/>
      <c r="H528" s="1407"/>
      <c r="I528" s="48" t="s">
        <v>422</v>
      </c>
      <c r="J528" s="48"/>
      <c r="K528" s="48"/>
      <c r="L528" s="48"/>
      <c r="M528" s="48"/>
      <c r="N528" s="48"/>
      <c r="O528" s="48"/>
      <c r="P528" s="48"/>
      <c r="Q528" s="48"/>
      <c r="R528" s="48"/>
      <c r="S528" s="48"/>
      <c r="T528" s="48"/>
      <c r="U528" s="48"/>
      <c r="V528" s="48"/>
      <c r="W528" s="48"/>
      <c r="X528" s="48"/>
      <c r="Y528" s="48"/>
      <c r="Z528" s="48"/>
      <c r="AA528" s="48"/>
      <c r="AB528" s="48"/>
      <c r="AC528" s="1389" t="s">
        <v>599</v>
      </c>
      <c r="AD528" s="1390"/>
      <c r="AE528" s="1390"/>
      <c r="AF528" s="1390"/>
      <c r="AG528" s="38" t="s">
        <v>403</v>
      </c>
      <c r="AH528" s="1392"/>
      <c r="AI528" s="1392"/>
      <c r="AJ528" s="1392"/>
      <c r="AK528" s="1393"/>
      <c r="AZ528" s="3"/>
      <c r="BA528" s="3"/>
      <c r="BB528" s="3"/>
      <c r="BC528" s="3"/>
      <c r="BD528" s="3"/>
      <c r="BE528" s="3"/>
      <c r="BF528" s="3"/>
      <c r="BG528" s="3"/>
      <c r="BH528" s="3"/>
      <c r="BI528" s="3"/>
      <c r="BJ528" s="3"/>
      <c r="BK528" s="3"/>
      <c r="BL528" s="3"/>
      <c r="BM528" s="3"/>
      <c r="BN528" s="3" t="s">
        <v>2428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5"/>
      <c r="C529" s="1406"/>
      <c r="D529" s="1406"/>
      <c r="E529" s="1406"/>
      <c r="F529" s="1406"/>
      <c r="G529" s="1406"/>
      <c r="H529" s="1407"/>
      <c r="I529" s="42" t="s">
        <v>423</v>
      </c>
      <c r="J529" s="42"/>
      <c r="K529" s="42"/>
      <c r="L529" s="42"/>
      <c r="M529" s="42"/>
      <c r="N529" s="42"/>
      <c r="O529" s="1400" t="s">
        <v>334</v>
      </c>
      <c r="P529" s="1401"/>
      <c r="Q529" s="1401"/>
      <c r="R529" s="1401"/>
      <c r="S529" s="1401"/>
      <c r="T529" s="1401"/>
      <c r="U529" s="1401"/>
      <c r="V529" s="1401"/>
      <c r="W529" s="1401"/>
      <c r="X529" s="1401"/>
      <c r="Y529" s="1401"/>
      <c r="Z529" s="1401"/>
      <c r="AA529" s="1401"/>
      <c r="AC529" s="1389" t="s">
        <v>599</v>
      </c>
      <c r="AD529" s="1390"/>
      <c r="AE529" s="1390"/>
      <c r="AF529" s="1390"/>
      <c r="AG529" s="13" t="s">
        <v>403</v>
      </c>
      <c r="AH529" s="1392"/>
      <c r="AI529" s="1392"/>
      <c r="AJ529" s="1392"/>
      <c r="AK529" s="1393"/>
      <c r="AZ529" s="3"/>
      <c r="BA529" s="3"/>
      <c r="BB529" s="3"/>
      <c r="BC529" s="3"/>
      <c r="BD529" s="3"/>
      <c r="BE529" s="3"/>
      <c r="BF529" s="3"/>
      <c r="BG529" s="3"/>
      <c r="BH529" s="3"/>
      <c r="BI529" s="3"/>
      <c r="BJ529" s="3"/>
      <c r="BK529" s="3"/>
      <c r="BL529" s="3"/>
      <c r="BM529" s="3"/>
      <c r="BN529" s="3" t="s">
        <v>2429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5"/>
      <c r="C530" s="1406"/>
      <c r="D530" s="1406"/>
      <c r="E530" s="1406"/>
      <c r="F530" s="1406"/>
      <c r="G530" s="1406"/>
      <c r="H530" s="1407"/>
      <c r="I530" t="s">
        <v>421</v>
      </c>
      <c r="AC530" s="1389" t="s">
        <v>599</v>
      </c>
      <c r="AD530" s="1390"/>
      <c r="AE530" s="1390"/>
      <c r="AF530" s="1390"/>
      <c r="AG530" s="13" t="s">
        <v>403</v>
      </c>
      <c r="AH530" s="1392"/>
      <c r="AI530" s="1392"/>
      <c r="AJ530" s="1392"/>
      <c r="AK530" s="1393"/>
      <c r="AZ530" s="3"/>
      <c r="BA530" s="3"/>
      <c r="BB530" s="3"/>
      <c r="BC530" s="3"/>
      <c r="BD530" s="3"/>
      <c r="BE530" s="3"/>
      <c r="BF530" s="3"/>
      <c r="BG530" s="3"/>
      <c r="BH530" s="3"/>
      <c r="BI530" s="3"/>
      <c r="BJ530" s="3"/>
      <c r="BK530" s="3"/>
      <c r="BL530" s="3"/>
      <c r="BM530" s="3"/>
      <c r="BN530" s="3" t="s">
        <v>2430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5"/>
      <c r="C531" s="1406"/>
      <c r="D531" s="1406"/>
      <c r="E531" s="1406"/>
      <c r="F531" s="1406"/>
      <c r="G531" s="1406"/>
      <c r="H531" s="1407"/>
      <c r="I531" s="48" t="s">
        <v>422</v>
      </c>
      <c r="J531" s="48"/>
      <c r="K531" s="48"/>
      <c r="L531" s="48"/>
      <c r="M531" s="48"/>
      <c r="N531" s="48"/>
      <c r="O531" s="48"/>
      <c r="P531" s="48"/>
      <c r="Q531" s="48"/>
      <c r="R531" s="48"/>
      <c r="S531" s="48"/>
      <c r="T531" s="48"/>
      <c r="U531" s="48"/>
      <c r="V531" s="48"/>
      <c r="W531" s="48"/>
      <c r="X531" s="48"/>
      <c r="Y531" s="48"/>
      <c r="Z531" s="48"/>
      <c r="AA531" s="48"/>
      <c r="AB531" s="48"/>
      <c r="AC531" s="1389" t="s">
        <v>599</v>
      </c>
      <c r="AD531" s="1390"/>
      <c r="AE531" s="1390"/>
      <c r="AF531" s="1390"/>
      <c r="AG531" s="38" t="s">
        <v>403</v>
      </c>
      <c r="AH531" s="1392"/>
      <c r="AI531" s="1392"/>
      <c r="AJ531" s="1392"/>
      <c r="AK531" s="1393"/>
      <c r="AZ531" s="3"/>
      <c r="BA531" s="3"/>
      <c r="BB531" s="3"/>
      <c r="BC531" s="3"/>
      <c r="BD531" s="3"/>
      <c r="BE531" s="3"/>
      <c r="BF531" s="3"/>
      <c r="BG531" s="3"/>
      <c r="BH531" s="3"/>
      <c r="BI531" s="3"/>
      <c r="BJ531" s="3"/>
      <c r="BK531" s="3"/>
      <c r="BL531" s="3"/>
      <c r="BM531" s="3"/>
      <c r="BN531" s="3" t="s">
        <v>2431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5"/>
      <c r="C532" s="1406"/>
      <c r="D532" s="1406"/>
      <c r="E532" s="1406"/>
      <c r="F532" s="1406"/>
      <c r="G532" s="1406"/>
      <c r="H532" s="1407"/>
      <c r="I532" s="42" t="s">
        <v>423</v>
      </c>
      <c r="J532" s="42"/>
      <c r="K532" s="42"/>
      <c r="L532" s="42"/>
      <c r="M532" s="42"/>
      <c r="N532" s="42"/>
      <c r="O532" s="1400" t="s">
        <v>334</v>
      </c>
      <c r="P532" s="1401"/>
      <c r="Q532" s="1401"/>
      <c r="R532" s="1401"/>
      <c r="S532" s="1401"/>
      <c r="T532" s="1401"/>
      <c r="U532" s="1401"/>
      <c r="V532" s="1401"/>
      <c r="W532" s="1401"/>
      <c r="X532" s="1401"/>
      <c r="Y532" s="1401"/>
      <c r="Z532" s="1401"/>
      <c r="AA532" s="1401"/>
      <c r="AC532" s="1389" t="s">
        <v>599</v>
      </c>
      <c r="AD532" s="1390"/>
      <c r="AE532" s="1390"/>
      <c r="AF532" s="1390"/>
      <c r="AG532" s="13" t="s">
        <v>403</v>
      </c>
      <c r="AH532" s="1392"/>
      <c r="AI532" s="1392"/>
      <c r="AJ532" s="1392"/>
      <c r="AK532" s="1393"/>
      <c r="AZ532" s="3"/>
      <c r="BA532" s="3"/>
      <c r="BB532" s="3"/>
      <c r="BC532" s="3"/>
      <c r="BD532" s="3"/>
      <c r="BE532" s="3"/>
      <c r="BF532" s="3"/>
      <c r="BG532" s="3"/>
      <c r="BH532" s="3"/>
      <c r="BI532" s="3"/>
      <c r="BJ532" s="3"/>
      <c r="BK532" s="3"/>
      <c r="BL532" s="3"/>
      <c r="BM532" s="3"/>
      <c r="BN532" s="3" t="s">
        <v>2432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5"/>
      <c r="C533" s="1406"/>
      <c r="D533" s="1406"/>
      <c r="E533" s="1406"/>
      <c r="F533" s="1406"/>
      <c r="G533" s="1406"/>
      <c r="H533" s="1407"/>
      <c r="I533" t="s">
        <v>421</v>
      </c>
      <c r="AC533" s="1389" t="s">
        <v>599</v>
      </c>
      <c r="AD533" s="1390"/>
      <c r="AE533" s="1390"/>
      <c r="AF533" s="1390"/>
      <c r="AG533" s="38" t="s">
        <v>403</v>
      </c>
      <c r="AH533" s="1392"/>
      <c r="AI533" s="1392"/>
      <c r="AJ533" s="1392"/>
      <c r="AK533" s="1393"/>
      <c r="AZ533" s="3"/>
      <c r="BA533" s="3"/>
      <c r="BB533" s="3"/>
      <c r="BC533" s="3"/>
      <c r="BD533" s="3"/>
      <c r="BE533" s="3"/>
      <c r="BF533" s="3"/>
      <c r="BG533" s="3"/>
      <c r="BH533" s="3"/>
      <c r="BI533" s="3"/>
      <c r="BJ533" s="3"/>
      <c r="BK533" s="3"/>
      <c r="BL533" s="3"/>
      <c r="BM533" s="3"/>
      <c r="BN533" s="3" t="s">
        <v>2433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5"/>
      <c r="C534" s="1406"/>
      <c r="D534" s="1406"/>
      <c r="E534" s="1406"/>
      <c r="F534" s="1406"/>
      <c r="G534" s="1406"/>
      <c r="H534" s="1407"/>
      <c r="I534" s="48" t="s">
        <v>422</v>
      </c>
      <c r="J534" s="48"/>
      <c r="K534" s="48"/>
      <c r="L534" s="48"/>
      <c r="M534" s="48"/>
      <c r="N534" s="48"/>
      <c r="O534" s="48"/>
      <c r="P534" s="48"/>
      <c r="Q534" s="48"/>
      <c r="R534" s="48"/>
      <c r="S534" s="48"/>
      <c r="T534" s="48"/>
      <c r="U534" s="48"/>
      <c r="V534" s="48"/>
      <c r="W534" s="48"/>
      <c r="X534" s="48"/>
      <c r="Y534" s="48"/>
      <c r="Z534" s="48"/>
      <c r="AA534" s="48"/>
      <c r="AB534" s="48"/>
      <c r="AC534" s="1389" t="s">
        <v>599</v>
      </c>
      <c r="AD534" s="1390"/>
      <c r="AE534" s="1390"/>
      <c r="AF534" s="1390"/>
      <c r="AG534" s="13" t="s">
        <v>403</v>
      </c>
      <c r="AH534" s="1392"/>
      <c r="AI534" s="1392"/>
      <c r="AJ534" s="1392"/>
      <c r="AK534" s="1393"/>
      <c r="AZ534" s="3"/>
      <c r="BA534" s="3"/>
      <c r="BB534" s="3"/>
      <c r="BC534" s="3"/>
      <c r="BD534" s="3"/>
      <c r="BE534" s="3"/>
      <c r="BF534" s="3"/>
      <c r="BG534" s="3"/>
      <c r="BH534" s="3"/>
      <c r="BI534" s="3"/>
      <c r="BJ534" s="3"/>
      <c r="BK534" s="3"/>
      <c r="BL534" s="3"/>
      <c r="BM534" s="3"/>
      <c r="BN534" s="3" t="s">
        <v>2434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5"/>
      <c r="C535" s="1406"/>
      <c r="D535" s="1406"/>
      <c r="E535" s="1406"/>
      <c r="F535" s="1406"/>
      <c r="G535" s="1406"/>
      <c r="H535" s="1407"/>
      <c r="I535" s="42" t="s">
        <v>423</v>
      </c>
      <c r="J535" s="42"/>
      <c r="K535" s="42"/>
      <c r="L535" s="42"/>
      <c r="M535" s="42"/>
      <c r="N535" s="42"/>
      <c r="O535" s="1400" t="s">
        <v>334</v>
      </c>
      <c r="P535" s="1401"/>
      <c r="Q535" s="1401"/>
      <c r="R535" s="1401"/>
      <c r="S535" s="1401"/>
      <c r="T535" s="1401"/>
      <c r="U535" s="1401"/>
      <c r="V535" s="1401"/>
      <c r="W535" s="1401"/>
      <c r="X535" s="1401"/>
      <c r="Y535" s="1401"/>
      <c r="Z535" s="1401"/>
      <c r="AA535" s="1401"/>
      <c r="AC535" s="1389" t="s">
        <v>599</v>
      </c>
      <c r="AD535" s="1390"/>
      <c r="AE535" s="1390"/>
      <c r="AF535" s="1390"/>
      <c r="AG535" s="38" t="s">
        <v>403</v>
      </c>
      <c r="AH535" s="1392"/>
      <c r="AI535" s="1392"/>
      <c r="AJ535" s="1392"/>
      <c r="AK535" s="1393"/>
      <c r="AZ535" s="3"/>
      <c r="BA535" s="3"/>
      <c r="BB535" s="3"/>
      <c r="BC535" s="3"/>
      <c r="BD535" s="3"/>
      <c r="BE535" s="3"/>
      <c r="BF535" s="3"/>
      <c r="BG535" s="3"/>
      <c r="BH535" s="3"/>
      <c r="BI535" s="3"/>
      <c r="BJ535" s="3"/>
      <c r="BK535" s="3"/>
      <c r="BL535" s="3"/>
      <c r="BM535" s="3"/>
      <c r="BN535" s="3" t="s">
        <v>2435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5"/>
      <c r="C536" s="1406"/>
      <c r="D536" s="1406"/>
      <c r="E536" s="1406"/>
      <c r="F536" s="1406"/>
      <c r="G536" s="1406"/>
      <c r="H536" s="1407"/>
      <c r="I536" t="s">
        <v>421</v>
      </c>
      <c r="AC536" s="1389" t="s">
        <v>599</v>
      </c>
      <c r="AD536" s="1390"/>
      <c r="AE536" s="1390"/>
      <c r="AF536" s="1390"/>
      <c r="AG536" s="13" t="s">
        <v>403</v>
      </c>
      <c r="AH536" s="1392"/>
      <c r="AI536" s="1392"/>
      <c r="AJ536" s="1392"/>
      <c r="AK536" s="1393"/>
      <c r="AZ536" s="3"/>
      <c r="BA536" s="3"/>
      <c r="BB536" s="3"/>
      <c r="BC536" s="3"/>
      <c r="BD536" s="3"/>
      <c r="BE536" s="3"/>
      <c r="BF536" s="3"/>
      <c r="BG536" s="3"/>
      <c r="BH536" s="3"/>
      <c r="BI536" s="3"/>
      <c r="BJ536" s="3"/>
      <c r="BK536" s="3"/>
      <c r="BL536" s="3"/>
      <c r="BM536" s="3"/>
      <c r="BN536" s="3" t="s">
        <v>2436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5"/>
      <c r="C537" s="1406"/>
      <c r="D537" s="1406"/>
      <c r="E537" s="1406"/>
      <c r="F537" s="1406"/>
      <c r="G537" s="1406"/>
      <c r="H537" s="1407"/>
      <c r="I537" s="48" t="s">
        <v>422</v>
      </c>
      <c r="J537" s="48"/>
      <c r="K537" s="48"/>
      <c r="L537" s="48"/>
      <c r="M537" s="48"/>
      <c r="N537" s="48"/>
      <c r="O537" s="48"/>
      <c r="P537" s="48"/>
      <c r="Q537" s="48"/>
      <c r="R537" s="48"/>
      <c r="S537" s="48"/>
      <c r="T537" s="48"/>
      <c r="U537" s="48"/>
      <c r="V537" s="48"/>
      <c r="W537" s="48"/>
      <c r="X537" s="48"/>
      <c r="Y537" s="48"/>
      <c r="Z537" s="48"/>
      <c r="AA537" s="48"/>
      <c r="AB537" s="48"/>
      <c r="AC537" s="1389" t="s">
        <v>599</v>
      </c>
      <c r="AD537" s="1390"/>
      <c r="AE537" s="1390"/>
      <c r="AF537" s="1390"/>
      <c r="AG537" s="38" t="s">
        <v>403</v>
      </c>
      <c r="AH537" s="1392"/>
      <c r="AI537" s="1392"/>
      <c r="AJ537" s="1392"/>
      <c r="AK537" s="1393"/>
      <c r="AZ537" s="3"/>
      <c r="BA537" s="3"/>
      <c r="BB537" s="3"/>
      <c r="BC537" s="3"/>
      <c r="BD537" s="3"/>
      <c r="BE537" s="3"/>
      <c r="BF537" s="3"/>
      <c r="BG537" s="3"/>
      <c r="BH537" s="3"/>
      <c r="BI537" s="3"/>
      <c r="BJ537" s="3"/>
      <c r="BK537" s="3"/>
      <c r="BL537" s="3"/>
      <c r="BM537" s="3"/>
      <c r="BN537" s="3" t="s">
        <v>2437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5"/>
      <c r="C538" s="1406"/>
      <c r="D538" s="1406"/>
      <c r="E538" s="1406"/>
      <c r="F538" s="1406"/>
      <c r="G538" s="1406"/>
      <c r="H538" s="1407"/>
      <c r="I538" s="42" t="s">
        <v>570</v>
      </c>
      <c r="J538" s="42"/>
      <c r="K538" s="42"/>
      <c r="L538" s="42"/>
      <c r="M538" s="42"/>
      <c r="N538" s="42"/>
      <c r="O538" s="42"/>
      <c r="P538" s="42"/>
      <c r="Q538" s="42"/>
      <c r="R538" s="42"/>
      <c r="S538" s="42"/>
      <c r="T538" s="42"/>
      <c r="U538" s="42"/>
      <c r="V538" s="42"/>
      <c r="W538" s="42"/>
      <c r="AC538" s="1389">
        <v>5</v>
      </c>
      <c r="AD538" s="1390"/>
      <c r="AE538" s="1390"/>
      <c r="AF538" s="1390"/>
      <c r="AG538" s="38" t="s">
        <v>403</v>
      </c>
      <c r="AH538" s="1392">
        <v>2025</v>
      </c>
      <c r="AI538" s="1392"/>
      <c r="AJ538" s="1392"/>
      <c r="AK538" s="139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5"/>
      <c r="C539" s="1406"/>
      <c r="D539" s="1406"/>
      <c r="E539" s="1406"/>
      <c r="F539" s="1406"/>
      <c r="G539" s="1406"/>
      <c r="H539" s="1407"/>
      <c r="I539" t="s">
        <v>571</v>
      </c>
      <c r="AC539" s="1389">
        <v>2</v>
      </c>
      <c r="AD539" s="1390"/>
      <c r="AE539" s="1390"/>
      <c r="AF539" s="1390"/>
      <c r="AG539" s="13" t="s">
        <v>403</v>
      </c>
      <c r="AH539" s="1392">
        <v>2025</v>
      </c>
      <c r="AI539" s="1392"/>
      <c r="AJ539" s="1392"/>
      <c r="AK539" s="139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5"/>
      <c r="C540" s="1406"/>
      <c r="D540" s="1406"/>
      <c r="E540" s="1406"/>
      <c r="F540" s="1406"/>
      <c r="G540" s="1406"/>
      <c r="H540" s="1407"/>
      <c r="I540" t="s">
        <v>572</v>
      </c>
      <c r="AC540" s="1389">
        <v>2</v>
      </c>
      <c r="AD540" s="1390"/>
      <c r="AE540" s="1390"/>
      <c r="AF540" s="1390"/>
      <c r="AG540" s="38" t="s">
        <v>403</v>
      </c>
      <c r="AH540" s="1392">
        <v>2027</v>
      </c>
      <c r="AI540" s="1392"/>
      <c r="AJ540" s="1392"/>
      <c r="AK540" s="139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5"/>
      <c r="C541" s="1406"/>
      <c r="D541" s="1406"/>
      <c r="E541" s="1406"/>
      <c r="F541" s="1406"/>
      <c r="G541" s="1406"/>
      <c r="H541" s="1407"/>
      <c r="I541" t="s">
        <v>573</v>
      </c>
      <c r="AC541" s="1389">
        <v>2</v>
      </c>
      <c r="AD541" s="1390"/>
      <c r="AE541" s="1390"/>
      <c r="AF541" s="1390"/>
      <c r="AG541" s="38" t="s">
        <v>403</v>
      </c>
      <c r="AH541" s="1392">
        <v>2027</v>
      </c>
      <c r="AI541" s="1392"/>
      <c r="AJ541" s="1392"/>
      <c r="AK541" s="139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8"/>
      <c r="C542" s="1409"/>
      <c r="D542" s="1409"/>
      <c r="E542" s="1409"/>
      <c r="F542" s="1409"/>
      <c r="G542" s="1409"/>
      <c r="H542" s="1410"/>
      <c r="I542" s="48" t="s">
        <v>459</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392">
        <v>2027</v>
      </c>
      <c r="AI542" s="1392"/>
      <c r="AJ542" s="1392"/>
      <c r="AK542" s="139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2409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2" t="s">
        <v>2411</v>
      </c>
      <c r="C551" s="1403"/>
      <c r="D551" s="1403"/>
      <c r="E551" s="1403"/>
      <c r="F551" s="1403"/>
      <c r="G551" s="1403"/>
      <c r="H551" s="1403"/>
      <c r="I551" s="1403"/>
      <c r="J551" s="1403"/>
      <c r="K551" s="1403"/>
      <c r="L551" s="1404"/>
      <c r="M551" s="1402" t="s">
        <v>2412</v>
      </c>
      <c r="N551" s="1403"/>
      <c r="O551" s="1403"/>
      <c r="P551" s="1404"/>
      <c r="Q551" s="1402" t="s">
        <v>2438</v>
      </c>
      <c r="R551" s="1403"/>
      <c r="S551" s="1404"/>
      <c r="T551" s="1402" t="s">
        <v>2439</v>
      </c>
      <c r="U551" s="1403"/>
      <c r="V551" s="1404"/>
      <c r="W551" s="1402" t="s">
        <v>461</v>
      </c>
      <c r="X551" s="1403"/>
      <c r="Y551" s="1404"/>
      <c r="Z551" s="1402" t="s">
        <v>2037</v>
      </c>
      <c r="AA551" s="1403"/>
      <c r="AB551" s="1403"/>
      <c r="AC551" s="1403"/>
      <c r="AD551" s="1404"/>
      <c r="AE551" s="1402" t="s">
        <v>1859</v>
      </c>
      <c r="AF551" s="1403"/>
      <c r="AG551" s="1403"/>
      <c r="AH551" s="1404"/>
      <c r="AI551" s="1402" t="s">
        <v>1860</v>
      </c>
      <c r="AJ551" s="1403"/>
      <c r="AK551" s="1403"/>
      <c r="AL551" s="1404"/>
      <c r="AM551" s="1402" t="s">
        <v>462</v>
      </c>
      <c r="AN551" s="1403"/>
      <c r="AO551" s="1403"/>
      <c r="AP551" s="1403"/>
      <c r="AQ551" s="1403"/>
      <c r="AR551" s="1403"/>
      <c r="AS551" s="1404"/>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5"/>
      <c r="C552" s="1406"/>
      <c r="D552" s="1406"/>
      <c r="E552" s="1406"/>
      <c r="F552" s="1406"/>
      <c r="G552" s="1406"/>
      <c r="H552" s="1406"/>
      <c r="I552" s="1406"/>
      <c r="J552" s="1406"/>
      <c r="K552" s="1406"/>
      <c r="L552" s="1407"/>
      <c r="M552" s="1405"/>
      <c r="N552" s="1406"/>
      <c r="O552" s="1406"/>
      <c r="P552" s="1407"/>
      <c r="Q552" s="1405"/>
      <c r="R552" s="1406"/>
      <c r="S552" s="1407"/>
      <c r="T552" s="1405"/>
      <c r="U552" s="1406"/>
      <c r="V552" s="1407"/>
      <c r="W552" s="1405"/>
      <c r="X552" s="1406"/>
      <c r="Y552" s="1407"/>
      <c r="Z552" s="1405"/>
      <c r="AA552" s="1406"/>
      <c r="AB552" s="1406"/>
      <c r="AC552" s="1406"/>
      <c r="AD552" s="1407"/>
      <c r="AE552" s="1405"/>
      <c r="AF552" s="1406"/>
      <c r="AG552" s="1406"/>
      <c r="AH552" s="1407"/>
      <c r="AI552" s="1405"/>
      <c r="AJ552" s="1406"/>
      <c r="AK552" s="1406"/>
      <c r="AL552" s="1407"/>
      <c r="AM552" s="1405"/>
      <c r="AN552" s="1406"/>
      <c r="AO552" s="1406"/>
      <c r="AP552" s="1406"/>
      <c r="AQ552" s="1406"/>
      <c r="AR552" s="1406"/>
      <c r="AS552" s="1407"/>
      <c r="AU552" s="1188"/>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8"/>
      <c r="C553" s="1409"/>
      <c r="D553" s="1409"/>
      <c r="E553" s="1409"/>
      <c r="F553" s="1409"/>
      <c r="G553" s="1409"/>
      <c r="H553" s="1409"/>
      <c r="I553" s="1409"/>
      <c r="J553" s="1409"/>
      <c r="K553" s="1409"/>
      <c r="L553" s="1410"/>
      <c r="M553" s="1408"/>
      <c r="N553" s="1409"/>
      <c r="O553" s="1409"/>
      <c r="P553" s="1410"/>
      <c r="Q553" s="1408"/>
      <c r="R553" s="1409"/>
      <c r="S553" s="1410"/>
      <c r="T553" s="1408"/>
      <c r="U553" s="1409"/>
      <c r="V553" s="1410"/>
      <c r="W553" s="1408"/>
      <c r="X553" s="1409"/>
      <c r="Y553" s="1410"/>
      <c r="Z553" s="1408"/>
      <c r="AA553" s="1409"/>
      <c r="AB553" s="1409"/>
      <c r="AC553" s="1409"/>
      <c r="AD553" s="1410"/>
      <c r="AE553" s="1408"/>
      <c r="AF553" s="1409"/>
      <c r="AG553" s="1409"/>
      <c r="AH553" s="1410"/>
      <c r="AI553" s="1408"/>
      <c r="AJ553" s="1409"/>
      <c r="AK553" s="1409"/>
      <c r="AL553" s="1410"/>
      <c r="AM553" s="1408"/>
      <c r="AN553" s="1409"/>
      <c r="AO553" s="1409"/>
      <c r="AP553" s="1409"/>
      <c r="AQ553" s="1409"/>
      <c r="AR553" s="1409"/>
      <c r="AS553" s="1410"/>
      <c r="AU553" s="1188"/>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391" t="s">
        <v>2781</v>
      </c>
      <c r="D554" s="1391"/>
      <c r="E554" s="1391"/>
      <c r="F554" s="1391"/>
      <c r="G554" s="1391"/>
      <c r="H554" s="1391"/>
      <c r="I554" s="1391"/>
      <c r="J554" s="1391"/>
      <c r="K554" s="1391"/>
      <c r="L554" s="1391"/>
      <c r="M554" s="1391" t="s">
        <v>2428</v>
      </c>
      <c r="N554" s="1391"/>
      <c r="O554" s="1391"/>
      <c r="P554" s="1391"/>
      <c r="Q554" s="1418"/>
      <c r="R554" s="1418"/>
      <c r="S554" s="1419"/>
      <c r="T554" s="1417">
        <v>36</v>
      </c>
      <c r="U554" s="1418"/>
      <c r="V554" s="1419"/>
      <c r="W554" s="1488">
        <v>6.9999999999999993E-2</v>
      </c>
      <c r="X554" s="1489"/>
      <c r="Y554" s="1490"/>
      <c r="Z554" s="1497" t="s">
        <v>2761</v>
      </c>
      <c r="AA554" s="1497"/>
      <c r="AB554" s="1497"/>
      <c r="AC554" s="1497"/>
      <c r="AD554" s="1497"/>
      <c r="AE554" s="1436"/>
      <c r="AF554" s="1437"/>
      <c r="AG554" s="1437"/>
      <c r="AH554" s="1438"/>
      <c r="AI554" s="1414"/>
      <c r="AJ554" s="1415"/>
      <c r="AK554" s="1415"/>
      <c r="AL554" s="1416"/>
      <c r="AM554" s="1442">
        <v>37500000</v>
      </c>
      <c r="AN554" s="1443"/>
      <c r="AO554" s="1443"/>
      <c r="AP554" s="1443"/>
      <c r="AQ554" s="1443"/>
      <c r="AR554" s="1443"/>
      <c r="AS554" s="1444"/>
      <c r="AT554" s="1189"/>
      <c r="AU554" s="118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13" t="s">
        <v>2782</v>
      </c>
      <c r="D555" s="1413"/>
      <c r="E555" s="1413"/>
      <c r="F555" s="1413"/>
      <c r="G555" s="1413"/>
      <c r="H555" s="1413"/>
      <c r="I555" s="1413"/>
      <c r="J555" s="1413"/>
      <c r="K555" s="1413"/>
      <c r="L555" s="1413"/>
      <c r="M555" s="1391" t="s">
        <v>2429</v>
      </c>
      <c r="N555" s="1391"/>
      <c r="O555" s="1391"/>
      <c r="P555" s="1391"/>
      <c r="Q555" s="1417"/>
      <c r="R555" s="1418"/>
      <c r="S555" s="1419"/>
      <c r="T555" s="1417">
        <v>36</v>
      </c>
      <c r="U555" s="1418"/>
      <c r="V555" s="1419"/>
      <c r="W555" s="1488">
        <v>6.9999999999999993E-2</v>
      </c>
      <c r="X555" s="1489"/>
      <c r="Y555" s="1490"/>
      <c r="Z555" s="1497" t="s">
        <v>2761</v>
      </c>
      <c r="AA555" s="1497"/>
      <c r="AB555" s="1497"/>
      <c r="AC555" s="1497"/>
      <c r="AD555" s="1497"/>
      <c r="AE555" s="1436"/>
      <c r="AF555" s="1437"/>
      <c r="AG555" s="1437"/>
      <c r="AH555" s="1438"/>
      <c r="AI555" s="1414"/>
      <c r="AJ555" s="1415"/>
      <c r="AK555" s="1415"/>
      <c r="AL555" s="1416"/>
      <c r="AM555" s="1442">
        <v>8000000</v>
      </c>
      <c r="AN555" s="1443"/>
      <c r="AO555" s="1443"/>
      <c r="AP555" s="1443"/>
      <c r="AQ555" s="1443"/>
      <c r="AR555" s="1443"/>
      <c r="AS555" s="1444"/>
      <c r="AT555" s="1189" t="str">
        <f>IF(AND(NOT(C554=""),C555="",NOT(C556="")),"!","")</f>
        <v/>
      </c>
      <c r="AU555" s="118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13" t="s">
        <v>2783</v>
      </c>
      <c r="D556" s="1413"/>
      <c r="E556" s="1413"/>
      <c r="F556" s="1413"/>
      <c r="G556" s="1413"/>
      <c r="H556" s="1413"/>
      <c r="I556" s="1413"/>
      <c r="J556" s="1413"/>
      <c r="K556" s="1413"/>
      <c r="L556" s="1413"/>
      <c r="M556" s="1391" t="s">
        <v>2427</v>
      </c>
      <c r="N556" s="1391"/>
      <c r="O556" s="1391"/>
      <c r="P556" s="1391"/>
      <c r="Q556" s="1417"/>
      <c r="R556" s="1418"/>
      <c r="S556" s="1419"/>
      <c r="T556" s="1417">
        <v>36</v>
      </c>
      <c r="U556" s="1418"/>
      <c r="V556" s="1419"/>
      <c r="W556" s="1488">
        <v>7.2499999999999995E-2</v>
      </c>
      <c r="X556" s="1489"/>
      <c r="Y556" s="1490"/>
      <c r="Z556" s="1497" t="s">
        <v>2761</v>
      </c>
      <c r="AA556" s="1497"/>
      <c r="AB556" s="1497"/>
      <c r="AC556" s="1497"/>
      <c r="AD556" s="1497"/>
      <c r="AE556" s="1436"/>
      <c r="AF556" s="1437"/>
      <c r="AG556" s="1437"/>
      <c r="AH556" s="1438"/>
      <c r="AI556" s="1414"/>
      <c r="AJ556" s="1415"/>
      <c r="AK556" s="1415"/>
      <c r="AL556" s="1416"/>
      <c r="AM556" s="1442">
        <v>17000000</v>
      </c>
      <c r="AN556" s="1443"/>
      <c r="AO556" s="1443"/>
      <c r="AP556" s="1443"/>
      <c r="AQ556" s="1443"/>
      <c r="AR556" s="1443"/>
      <c r="AS556" s="1444"/>
      <c r="AT556" s="1189" t="str">
        <f>IF(AND(NOT(C555=""),C556="",NOT(C557="")),"!","")</f>
        <v/>
      </c>
      <c r="AU556" s="118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13" t="s">
        <v>2785</v>
      </c>
      <c r="D557" s="1413"/>
      <c r="E557" s="1413"/>
      <c r="F557" s="1413"/>
      <c r="G557" s="1413"/>
      <c r="H557" s="1413"/>
      <c r="I557" s="1413"/>
      <c r="J557" s="1413"/>
      <c r="K557" s="1413"/>
      <c r="L557" s="1413"/>
      <c r="M557" s="1391" t="s">
        <v>2419</v>
      </c>
      <c r="N557" s="1391"/>
      <c r="O557" s="1391"/>
      <c r="P557" s="1391"/>
      <c r="Q557" s="1417"/>
      <c r="R557" s="1418"/>
      <c r="S557" s="1419"/>
      <c r="T557" s="1417"/>
      <c r="U557" s="1418"/>
      <c r="V557" s="1419"/>
      <c r="W557" s="1488"/>
      <c r="X557" s="1489"/>
      <c r="Y557" s="1490"/>
      <c r="Z557" s="1497" t="s">
        <v>599</v>
      </c>
      <c r="AA557" s="1497"/>
      <c r="AB557" s="1497"/>
      <c r="AC557" s="1497"/>
      <c r="AD557" s="1497"/>
      <c r="AE557" s="1436"/>
      <c r="AF557" s="1437"/>
      <c r="AG557" s="1437"/>
      <c r="AH557" s="1438"/>
      <c r="AI557" s="1414"/>
      <c r="AJ557" s="1415"/>
      <c r="AK557" s="1415"/>
      <c r="AL557" s="1416"/>
      <c r="AM557" s="1442">
        <v>4841961.0750000002</v>
      </c>
      <c r="AN557" s="1443"/>
      <c r="AO557" s="1443"/>
      <c r="AP557" s="1443"/>
      <c r="AQ557" s="1443"/>
      <c r="AR557" s="1443"/>
      <c r="AS557" s="1444"/>
      <c r="AT557" s="1189" t="str">
        <f>IF(AND(NOT(C556=""),C557="",NOT(C558="")),"!","")</f>
        <v/>
      </c>
      <c r="AU557" s="118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13" t="s">
        <v>2786</v>
      </c>
      <c r="D558" s="1413"/>
      <c r="E558" s="1413"/>
      <c r="F558" s="1413"/>
      <c r="G558" s="1413"/>
      <c r="H558" s="1413"/>
      <c r="I558" s="1413"/>
      <c r="J558" s="1413"/>
      <c r="K558" s="1413"/>
      <c r="L558" s="1413"/>
      <c r="M558" s="1391" t="s">
        <v>2419</v>
      </c>
      <c r="N558" s="1391"/>
      <c r="O558" s="1391"/>
      <c r="P558" s="1391"/>
      <c r="Q558" s="1417"/>
      <c r="R558" s="1418"/>
      <c r="S558" s="1419"/>
      <c r="T558" s="1417"/>
      <c r="U558" s="1418"/>
      <c r="V558" s="1419"/>
      <c r="W558" s="1488"/>
      <c r="X558" s="1489"/>
      <c r="Y558" s="1490"/>
      <c r="Z558" s="1497" t="s">
        <v>599</v>
      </c>
      <c r="AA558" s="1497"/>
      <c r="AB558" s="1497"/>
      <c r="AC558" s="1497"/>
      <c r="AD558" s="1497"/>
      <c r="AE558" s="1436"/>
      <c r="AF558" s="1437"/>
      <c r="AG558" s="1437"/>
      <c r="AH558" s="1438"/>
      <c r="AI558" s="1414"/>
      <c r="AJ558" s="1415"/>
      <c r="AK558" s="1415"/>
      <c r="AL558" s="1416"/>
      <c r="AM558" s="1442">
        <v>2803500</v>
      </c>
      <c r="AN558" s="1443"/>
      <c r="AO558" s="1443"/>
      <c r="AP558" s="1443"/>
      <c r="AQ558" s="1443"/>
      <c r="AR558" s="1443"/>
      <c r="AS558" s="1444"/>
      <c r="AT558" s="1189" t="str">
        <f t="shared" ref="AT558:AT565" si="0">IF(AND(NOT(C557=""),C558="",NOT(C559="")),"!","")</f>
        <v/>
      </c>
      <c r="AU558" s="1188"/>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13" t="s">
        <v>2774</v>
      </c>
      <c r="D559" s="1413"/>
      <c r="E559" s="1413"/>
      <c r="F559" s="1413"/>
      <c r="G559" s="1413"/>
      <c r="H559" s="1413"/>
      <c r="I559" s="1413"/>
      <c r="J559" s="1413"/>
      <c r="K559" s="1413"/>
      <c r="L559" s="1413"/>
      <c r="M559" s="1391" t="s">
        <v>2415</v>
      </c>
      <c r="N559" s="1391"/>
      <c r="O559" s="1391"/>
      <c r="P559" s="1391"/>
      <c r="Q559" s="1417"/>
      <c r="R559" s="1418"/>
      <c r="S559" s="1419"/>
      <c r="T559" s="1417"/>
      <c r="U559" s="1418"/>
      <c r="V559" s="1419"/>
      <c r="W559" s="1488"/>
      <c r="X559" s="1489"/>
      <c r="Y559" s="1490"/>
      <c r="Z559" s="1497" t="s">
        <v>599</v>
      </c>
      <c r="AA559" s="1497"/>
      <c r="AB559" s="1497"/>
      <c r="AC559" s="1497"/>
      <c r="AD559" s="1497"/>
      <c r="AE559" s="1436"/>
      <c r="AF559" s="1437"/>
      <c r="AG559" s="1437"/>
      <c r="AH559" s="1438"/>
      <c r="AI559" s="1414"/>
      <c r="AJ559" s="1415"/>
      <c r="AK559" s="1415"/>
      <c r="AL559" s="1416"/>
      <c r="AM559" s="1442">
        <v>565485.65853260877</v>
      </c>
      <c r="AN559" s="1443"/>
      <c r="AO559" s="1443"/>
      <c r="AP559" s="1443"/>
      <c r="AQ559" s="1443"/>
      <c r="AR559" s="1443"/>
      <c r="AS559" s="1444"/>
      <c r="AT559" s="1189" t="str">
        <f t="shared" si="0"/>
        <v/>
      </c>
      <c r="AU559" s="1188"/>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13" t="s">
        <v>1845</v>
      </c>
      <c r="D560" s="1413"/>
      <c r="E560" s="1413"/>
      <c r="F560" s="1413"/>
      <c r="G560" s="1413"/>
      <c r="H560" s="1413"/>
      <c r="I560" s="1413"/>
      <c r="J560" s="1413"/>
      <c r="K560" s="1413"/>
      <c r="L560" s="1413"/>
      <c r="M560" s="1391" t="s">
        <v>2415</v>
      </c>
      <c r="N560" s="1391"/>
      <c r="O560" s="1391"/>
      <c r="P560" s="1391"/>
      <c r="Q560" s="1417"/>
      <c r="R560" s="1418"/>
      <c r="S560" s="1419"/>
      <c r="T560" s="1417"/>
      <c r="U560" s="1418"/>
      <c r="V560" s="1419"/>
      <c r="W560" s="1488"/>
      <c r="X560" s="1489"/>
      <c r="Y560" s="1490"/>
      <c r="Z560" s="1497" t="s">
        <v>599</v>
      </c>
      <c r="AA560" s="1497"/>
      <c r="AB560" s="1497"/>
      <c r="AC560" s="1497"/>
      <c r="AD560" s="1497"/>
      <c r="AE560" s="1436"/>
      <c r="AF560" s="1437"/>
      <c r="AG560" s="1437"/>
      <c r="AH560" s="1438"/>
      <c r="AI560" s="1414"/>
      <c r="AJ560" s="1415"/>
      <c r="AK560" s="1415"/>
      <c r="AL560" s="1416"/>
      <c r="AM560" s="1442">
        <v>8033647.6341733187</v>
      </c>
      <c r="AN560" s="1443"/>
      <c r="AO560" s="1443"/>
      <c r="AP560" s="1443"/>
      <c r="AQ560" s="1443"/>
      <c r="AR560" s="1443"/>
      <c r="AS560" s="1444"/>
      <c r="AT560" s="1189" t="str">
        <f t="shared" si="0"/>
        <v/>
      </c>
      <c r="AU560" s="118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13"/>
      <c r="D561" s="1413"/>
      <c r="E561" s="1413"/>
      <c r="F561" s="1413"/>
      <c r="G561" s="1413"/>
      <c r="H561" s="1413"/>
      <c r="I561" s="1413"/>
      <c r="J561" s="1413"/>
      <c r="K561" s="1413"/>
      <c r="L561" s="1413"/>
      <c r="M561" s="1391" t="s">
        <v>1288</v>
      </c>
      <c r="N561" s="1391"/>
      <c r="O561" s="1391"/>
      <c r="P561" s="1391"/>
      <c r="Q561" s="1417"/>
      <c r="R561" s="1418"/>
      <c r="S561" s="1419"/>
      <c r="T561" s="1417"/>
      <c r="U561" s="1418"/>
      <c r="V561" s="1419"/>
      <c r="W561" s="1488"/>
      <c r="X561" s="1489"/>
      <c r="Y561" s="1490"/>
      <c r="Z561" s="1497" t="s">
        <v>1288</v>
      </c>
      <c r="AA561" s="1497"/>
      <c r="AB561" s="1497"/>
      <c r="AC561" s="1497"/>
      <c r="AD561" s="1497"/>
      <c r="AE561" s="1436"/>
      <c r="AF561" s="1437"/>
      <c r="AG561" s="1437"/>
      <c r="AH561" s="1438"/>
      <c r="AI561" s="1414"/>
      <c r="AJ561" s="1415"/>
      <c r="AK561" s="1415"/>
      <c r="AL561" s="1416"/>
      <c r="AM561" s="1442"/>
      <c r="AN561" s="1443"/>
      <c r="AO561" s="1443"/>
      <c r="AP561" s="1443"/>
      <c r="AQ561" s="1443"/>
      <c r="AR561" s="1443"/>
      <c r="AS561" s="1444"/>
      <c r="AT561" s="1189" t="str">
        <f t="shared" si="0"/>
        <v/>
      </c>
      <c r="AU561" s="118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13"/>
      <c r="D562" s="1413"/>
      <c r="E562" s="1413"/>
      <c r="F562" s="1413"/>
      <c r="G562" s="1413"/>
      <c r="H562" s="1413"/>
      <c r="I562" s="1413"/>
      <c r="J562" s="1413"/>
      <c r="K562" s="1413"/>
      <c r="L562" s="1413"/>
      <c r="M562" s="1391" t="s">
        <v>1288</v>
      </c>
      <c r="N562" s="1391"/>
      <c r="O562" s="1391"/>
      <c r="P562" s="1391"/>
      <c r="Q562" s="1417"/>
      <c r="R562" s="1418"/>
      <c r="S562" s="1419"/>
      <c r="T562" s="1417"/>
      <c r="U562" s="1418"/>
      <c r="V562" s="1419"/>
      <c r="W562" s="1488"/>
      <c r="X562" s="1489"/>
      <c r="Y562" s="1490"/>
      <c r="Z562" s="1497" t="s">
        <v>1288</v>
      </c>
      <c r="AA562" s="1497"/>
      <c r="AB562" s="1497"/>
      <c r="AC562" s="1497"/>
      <c r="AD562" s="1497"/>
      <c r="AE562" s="1436"/>
      <c r="AF562" s="1437"/>
      <c r="AG562" s="1437"/>
      <c r="AH562" s="1438"/>
      <c r="AI562" s="1414"/>
      <c r="AJ562" s="1415"/>
      <c r="AK562" s="1415"/>
      <c r="AL562" s="1416"/>
      <c r="AM562" s="1442"/>
      <c r="AN562" s="1443"/>
      <c r="AO562" s="1443"/>
      <c r="AP562" s="1443"/>
      <c r="AQ562" s="1443"/>
      <c r="AR562" s="1443"/>
      <c r="AS562" s="1444"/>
      <c r="AT562" s="1189" t="str">
        <f t="shared" si="0"/>
        <v/>
      </c>
      <c r="AU562" s="118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13"/>
      <c r="D563" s="1413"/>
      <c r="E563" s="1413"/>
      <c r="F563" s="1413"/>
      <c r="G563" s="1413"/>
      <c r="H563" s="1413"/>
      <c r="I563" s="1413"/>
      <c r="J563" s="1413"/>
      <c r="K563" s="1413"/>
      <c r="L563" s="1413"/>
      <c r="M563" s="1391" t="s">
        <v>1288</v>
      </c>
      <c r="N563" s="1391"/>
      <c r="O563" s="1391"/>
      <c r="P563" s="1391"/>
      <c r="Q563" s="1417"/>
      <c r="R563" s="1418"/>
      <c r="S563" s="1419"/>
      <c r="T563" s="1417"/>
      <c r="U563" s="1418"/>
      <c r="V563" s="1419"/>
      <c r="W563" s="1488"/>
      <c r="X563" s="1489"/>
      <c r="Y563" s="1490"/>
      <c r="Z563" s="1497" t="s">
        <v>1288</v>
      </c>
      <c r="AA563" s="1497"/>
      <c r="AB563" s="1497"/>
      <c r="AC563" s="1497"/>
      <c r="AD563" s="1497"/>
      <c r="AE563" s="1436"/>
      <c r="AF563" s="1437"/>
      <c r="AG563" s="1437"/>
      <c r="AH563" s="1438"/>
      <c r="AI563" s="1414"/>
      <c r="AJ563" s="1415"/>
      <c r="AK563" s="1415"/>
      <c r="AL563" s="1416"/>
      <c r="AM563" s="1442"/>
      <c r="AN563" s="1443"/>
      <c r="AO563" s="1443"/>
      <c r="AP563" s="1443"/>
      <c r="AQ563" s="1443"/>
      <c r="AR563" s="1443"/>
      <c r="AS563" s="1444"/>
      <c r="AT563" s="1189"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13"/>
      <c r="D564" s="1413"/>
      <c r="E564" s="1413"/>
      <c r="F564" s="1413"/>
      <c r="G564" s="1413"/>
      <c r="H564" s="1413"/>
      <c r="I564" s="1413"/>
      <c r="J564" s="1413"/>
      <c r="K564" s="1413"/>
      <c r="L564" s="1413"/>
      <c r="M564" s="1391" t="s">
        <v>1288</v>
      </c>
      <c r="N564" s="1391"/>
      <c r="O564" s="1391"/>
      <c r="P564" s="1391"/>
      <c r="Q564" s="1417"/>
      <c r="R564" s="1418"/>
      <c r="S564" s="1419"/>
      <c r="T564" s="1417"/>
      <c r="U564" s="1418"/>
      <c r="V564" s="1419"/>
      <c r="W564" s="1488"/>
      <c r="X564" s="1489"/>
      <c r="Y564" s="1490"/>
      <c r="Z564" s="1497" t="s">
        <v>1288</v>
      </c>
      <c r="AA564" s="1497"/>
      <c r="AB564" s="1497"/>
      <c r="AC564" s="1497"/>
      <c r="AD564" s="1497"/>
      <c r="AE564" s="1436"/>
      <c r="AF564" s="1437"/>
      <c r="AG564" s="1437"/>
      <c r="AH564" s="1438"/>
      <c r="AI564" s="1414"/>
      <c r="AJ564" s="1415"/>
      <c r="AK564" s="1415"/>
      <c r="AL564" s="1416"/>
      <c r="AM564" s="1442"/>
      <c r="AN564" s="1443"/>
      <c r="AO564" s="1443"/>
      <c r="AP564" s="1443"/>
      <c r="AQ564" s="1443"/>
      <c r="AR564" s="1443"/>
      <c r="AS564" s="1444"/>
      <c r="AT564" s="1189"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13"/>
      <c r="D565" s="1413"/>
      <c r="E565" s="1413"/>
      <c r="F565" s="1413"/>
      <c r="G565" s="1413"/>
      <c r="H565" s="1413"/>
      <c r="I565" s="1413"/>
      <c r="J565" s="1413"/>
      <c r="K565" s="1413"/>
      <c r="L565" s="1413"/>
      <c r="M565" s="1391" t="s">
        <v>1288</v>
      </c>
      <c r="N565" s="1391"/>
      <c r="O565" s="1391"/>
      <c r="P565" s="1391"/>
      <c r="Q565" s="1417"/>
      <c r="R565" s="1418"/>
      <c r="S565" s="1419"/>
      <c r="T565" s="1417"/>
      <c r="U565" s="1418"/>
      <c r="V565" s="1419"/>
      <c r="W565" s="1488"/>
      <c r="X565" s="1489"/>
      <c r="Y565" s="1490"/>
      <c r="Z565" s="1497" t="s">
        <v>1288</v>
      </c>
      <c r="AA565" s="1497"/>
      <c r="AB565" s="1497"/>
      <c r="AC565" s="1497"/>
      <c r="AD565" s="1497"/>
      <c r="AE565" s="1436"/>
      <c r="AF565" s="1437"/>
      <c r="AG565" s="1437"/>
      <c r="AH565" s="1438"/>
      <c r="AI565" s="1414"/>
      <c r="AJ565" s="1415"/>
      <c r="AK565" s="1415"/>
      <c r="AL565" s="1416"/>
      <c r="AM565" s="1442"/>
      <c r="AN565" s="1443"/>
      <c r="AO565" s="1443"/>
      <c r="AP565" s="1443"/>
      <c r="AQ565" s="1443"/>
      <c r="AR565" s="1443"/>
      <c r="AS565" s="1444"/>
      <c r="AT565" s="1189"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61" t="s">
        <v>127</v>
      </c>
      <c r="C566" s="1562"/>
      <c r="D566" s="1562"/>
      <c r="E566" s="1562"/>
      <c r="F566" s="1562"/>
      <c r="G566" s="1562"/>
      <c r="H566" s="1562"/>
      <c r="I566" s="1562"/>
      <c r="J566" s="1562"/>
      <c r="K566" s="1562"/>
      <c r="L566" s="1562"/>
      <c r="M566" s="1562"/>
      <c r="N566" s="1562"/>
      <c r="O566" s="1562"/>
      <c r="P566" s="1562"/>
      <c r="Q566" s="1562"/>
      <c r="R566" s="1562"/>
      <c r="S566" s="1562"/>
      <c r="T566" s="1562"/>
      <c r="U566" s="1565"/>
      <c r="V566" s="1562"/>
      <c r="W566" s="1562"/>
      <c r="X566" s="1562"/>
      <c r="Y566" s="1562"/>
      <c r="Z566" s="1562"/>
      <c r="AA566" s="1562"/>
      <c r="AB566" s="1562"/>
      <c r="AC566" s="1562"/>
      <c r="AD566" s="1562"/>
      <c r="AE566" s="1562"/>
      <c r="AF566" s="1562"/>
      <c r="AG566" s="1562"/>
      <c r="AH566" s="1562"/>
      <c r="AI566" s="1562"/>
      <c r="AJ566" s="1562"/>
      <c r="AK566" s="1562"/>
      <c r="AL566" s="1563"/>
      <c r="AM566" s="1582">
        <f>SUM(AM554:AS565)</f>
        <v>78744594.367705926</v>
      </c>
      <c r="AN566" s="1583"/>
      <c r="AO566" s="1583"/>
      <c r="AP566" s="1583"/>
      <c r="AQ566" s="1583"/>
      <c r="AR566" s="1583"/>
      <c r="AS566" s="158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71" t="str">
        <f>C554</f>
        <v>Citi - Tax Exempt Loan</v>
      </c>
      <c r="H568" s="1371"/>
      <c r="I568" s="1371"/>
      <c r="J568" s="1371"/>
      <c r="K568" s="1371"/>
      <c r="L568" s="1371"/>
      <c r="M568" s="1371"/>
      <c r="N568" s="1371"/>
      <c r="O568" s="1371"/>
      <c r="P568" s="1371"/>
      <c r="Q568" s="1371"/>
      <c r="R568" s="1371"/>
      <c r="S568" s="8"/>
      <c r="T568" s="55" t="s">
        <v>113</v>
      </c>
      <c r="U568" t="s">
        <v>471</v>
      </c>
      <c r="Z568" s="1371" t="str">
        <f>C555</f>
        <v>Citi - Tax Exempt Loan - Recycled Bonds</v>
      </c>
      <c r="AA568" s="1371"/>
      <c r="AB568" s="1371"/>
      <c r="AC568" s="1371"/>
      <c r="AD568" s="1371"/>
      <c r="AE568" s="1371"/>
      <c r="AF568" s="1371"/>
      <c r="AG568" s="1371"/>
      <c r="AH568" s="1371"/>
      <c r="AI568" s="1371"/>
      <c r="AJ568" s="1371"/>
      <c r="AK568" s="137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60" t="s">
        <v>2713</v>
      </c>
      <c r="H569" s="1360"/>
      <c r="I569" s="1360"/>
      <c r="J569" s="1360"/>
      <c r="K569" s="1360"/>
      <c r="L569" s="1360"/>
      <c r="M569" s="1360"/>
      <c r="N569" s="1360"/>
      <c r="O569" s="1360"/>
      <c r="P569" s="1360"/>
      <c r="Q569" s="1360"/>
      <c r="R569" s="1360"/>
      <c r="S569" s="8"/>
      <c r="T569" s="22"/>
      <c r="U569" t="s">
        <v>85</v>
      </c>
      <c r="Z569" s="1360" t="s">
        <v>2713</v>
      </c>
      <c r="AA569" s="1360"/>
      <c r="AB569" s="1360"/>
      <c r="AC569" s="1360"/>
      <c r="AD569" s="1360"/>
      <c r="AE569" s="1360"/>
      <c r="AF569" s="1360"/>
      <c r="AG569" s="1360"/>
      <c r="AH569" s="1360"/>
      <c r="AI569" s="1360"/>
      <c r="AJ569" s="1360"/>
      <c r="AK569" s="13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60" t="s">
        <v>2669</v>
      </c>
      <c r="H570" s="1360"/>
      <c r="I570" s="1360"/>
      <c r="J570" s="1360"/>
      <c r="K570" s="1360"/>
      <c r="L570" s="1360"/>
      <c r="M570" s="1360"/>
      <c r="N570" s="1360"/>
      <c r="O570" s="1360"/>
      <c r="P570" s="1360"/>
      <c r="Q570" s="1360"/>
      <c r="R570" s="1360"/>
      <c r="T570" s="22"/>
      <c r="U570" t="s">
        <v>588</v>
      </c>
      <c r="Z570" s="1362" t="s">
        <v>2669</v>
      </c>
      <c r="AA570" s="1362"/>
      <c r="AB570" s="1362"/>
      <c r="AC570" s="1362"/>
      <c r="AD570" s="1362"/>
      <c r="AE570" s="1362"/>
      <c r="AF570" s="1362"/>
      <c r="AG570" s="1362"/>
      <c r="AH570" s="1362"/>
      <c r="AI570" s="1362"/>
      <c r="AJ570" s="1362"/>
      <c r="AK570" s="13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60" t="s">
        <v>2714</v>
      </c>
      <c r="H571" s="1360"/>
      <c r="I571" s="1360"/>
      <c r="J571" s="1360"/>
      <c r="K571" s="1360"/>
      <c r="L571" s="1360"/>
      <c r="M571" s="1360"/>
      <c r="N571" s="1360"/>
      <c r="O571" s="1360"/>
      <c r="P571" s="1360"/>
      <c r="Q571" s="1360"/>
      <c r="R571" s="1360"/>
      <c r="S571" s="8"/>
      <c r="T571" s="22"/>
      <c r="U571" t="s">
        <v>17</v>
      </c>
      <c r="Z571" s="1362" t="s">
        <v>2714</v>
      </c>
      <c r="AA571" s="1362"/>
      <c r="AB571" s="1362"/>
      <c r="AC571" s="1362"/>
      <c r="AD571" s="1362"/>
      <c r="AE571" s="1362"/>
      <c r="AF571" s="1362"/>
      <c r="AG571" s="1362"/>
      <c r="AH571" s="1362"/>
      <c r="AI571" s="1362"/>
      <c r="AJ571" s="1362"/>
      <c r="AK571" s="13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78" t="s">
        <v>2715</v>
      </c>
      <c r="H572" s="1378"/>
      <c r="I572" s="1378"/>
      <c r="J572" s="1378"/>
      <c r="K572" s="1378"/>
      <c r="L572" s="1378"/>
      <c r="O572" s="33" t="s">
        <v>206</v>
      </c>
      <c r="P572" s="1367"/>
      <c r="Q572" s="1367"/>
      <c r="R572" s="1367"/>
      <c r="S572" s="10"/>
      <c r="T572" s="22"/>
      <c r="U572" t="s">
        <v>316</v>
      </c>
      <c r="Z572" s="1378" t="s">
        <v>2715</v>
      </c>
      <c r="AA572" s="1378"/>
      <c r="AB572" s="1378"/>
      <c r="AC572" s="1378"/>
      <c r="AD572" s="1378"/>
      <c r="AE572" s="1378"/>
      <c r="AH572" s="33" t="s">
        <v>206</v>
      </c>
      <c r="AI572" s="1367"/>
      <c r="AJ572" s="1367"/>
      <c r="AK572" s="136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60" t="s">
        <v>2428</v>
      </c>
      <c r="I573" s="1360"/>
      <c r="J573" s="1360"/>
      <c r="K573" s="1360"/>
      <c r="L573" s="1360"/>
      <c r="M573" s="1360"/>
      <c r="N573" s="1360"/>
      <c r="O573" s="1360"/>
      <c r="P573" s="1360"/>
      <c r="Q573" s="1360"/>
      <c r="R573" s="1360"/>
      <c r="S573" s="8"/>
      <c r="T573" s="22"/>
      <c r="U573" t="s">
        <v>18</v>
      </c>
      <c r="AA573" s="1360" t="s">
        <v>2728</v>
      </c>
      <c r="AB573" s="1360"/>
      <c r="AC573" s="1360"/>
      <c r="AD573" s="1360"/>
      <c r="AE573" s="1360"/>
      <c r="AF573" s="1360"/>
      <c r="AG573" s="1360"/>
      <c r="AH573" s="1360"/>
      <c r="AI573" s="1360"/>
      <c r="AJ573" s="1360"/>
      <c r="AK573" s="13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80"/>
      <c r="N574" s="1580"/>
      <c r="O574" s="1580"/>
      <c r="P574" s="1580"/>
      <c r="Q574" s="1580"/>
      <c r="R574" s="1580"/>
      <c r="S574" s="8"/>
      <c r="T574" s="22"/>
      <c r="U574" s="348" t="s">
        <v>1289</v>
      </c>
      <c r="AA574" s="8"/>
      <c r="AB574" s="8"/>
      <c r="AC574" s="8"/>
      <c r="AD574" s="8"/>
      <c r="AE574" s="8"/>
      <c r="AF574" s="1580"/>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6" t="s">
        <v>553</v>
      </c>
      <c r="O575" s="1366"/>
      <c r="T575" s="22"/>
      <c r="U575" t="s">
        <v>20</v>
      </c>
      <c r="AG575" s="1366" t="s">
        <v>553</v>
      </c>
      <c r="AH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71" t="str">
        <f>C556</f>
        <v>Citi - Taxable Tail</v>
      </c>
      <c r="H577" s="1371"/>
      <c r="I577" s="1371"/>
      <c r="J577" s="1371"/>
      <c r="K577" s="1371"/>
      <c r="L577" s="1371"/>
      <c r="M577" s="1371"/>
      <c r="N577" s="1371"/>
      <c r="O577" s="1371"/>
      <c r="P577" s="1371"/>
      <c r="Q577" s="1371"/>
      <c r="R577" s="1371"/>
      <c r="T577" s="55" t="s">
        <v>589</v>
      </c>
      <c r="U577" t="s">
        <v>471</v>
      </c>
      <c r="Z577" s="1371" t="str">
        <f>C557</f>
        <v>Tax Credit Equity - Federal</v>
      </c>
      <c r="AA577" s="1371"/>
      <c r="AB577" s="1371"/>
      <c r="AC577" s="1371"/>
      <c r="AD577" s="1371"/>
      <c r="AE577" s="1371"/>
      <c r="AF577" s="1371"/>
      <c r="AG577" s="1371"/>
      <c r="AH577" s="1371"/>
      <c r="AI577" s="1371"/>
      <c r="AJ577" s="1371"/>
      <c r="AK577" s="137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60" t="s">
        <v>2713</v>
      </c>
      <c r="H578" s="1360"/>
      <c r="I578" s="1360"/>
      <c r="J578" s="1360"/>
      <c r="K578" s="1360"/>
      <c r="L578" s="1360"/>
      <c r="M578" s="1360"/>
      <c r="N578" s="1360"/>
      <c r="O578" s="1360"/>
      <c r="P578" s="1360"/>
      <c r="Q578" s="1360"/>
      <c r="R578" s="1360"/>
      <c r="T578" s="22"/>
      <c r="U578" t="s">
        <v>85</v>
      </c>
      <c r="Z578" s="1360" t="s">
        <v>2682</v>
      </c>
      <c r="AA578" s="1360"/>
      <c r="AB578" s="1360"/>
      <c r="AC578" s="1360"/>
      <c r="AD578" s="1360"/>
      <c r="AE578" s="1360"/>
      <c r="AF578" s="1360"/>
      <c r="AG578" s="1360"/>
      <c r="AH578" s="1360"/>
      <c r="AI578" s="1360"/>
      <c r="AJ578" s="1360"/>
      <c r="AK578" s="136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62" t="s">
        <v>2669</v>
      </c>
      <c r="H579" s="1362"/>
      <c r="I579" s="1362"/>
      <c r="J579" s="1362"/>
      <c r="K579" s="1362"/>
      <c r="L579" s="1362"/>
      <c r="M579" s="1362"/>
      <c r="N579" s="1362"/>
      <c r="O579" s="1362"/>
      <c r="P579" s="1362"/>
      <c r="Q579" s="1362"/>
      <c r="R579" s="1362"/>
      <c r="T579" s="22"/>
      <c r="U579" t="s">
        <v>588</v>
      </c>
      <c r="Z579" s="1360" t="s">
        <v>2683</v>
      </c>
      <c r="AA579" s="1360"/>
      <c r="AB579" s="1360"/>
      <c r="AC579" s="1360"/>
      <c r="AD579" s="1360"/>
      <c r="AE579" s="1360"/>
      <c r="AF579" s="1360"/>
      <c r="AG579" s="1360"/>
      <c r="AH579" s="1360"/>
      <c r="AI579" s="1360"/>
      <c r="AJ579" s="1360"/>
      <c r="AK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62" t="s">
        <v>2714</v>
      </c>
      <c r="H580" s="1362"/>
      <c r="I580" s="1362"/>
      <c r="J580" s="1362"/>
      <c r="K580" s="1362"/>
      <c r="L580" s="1362"/>
      <c r="M580" s="1362"/>
      <c r="N580" s="1362"/>
      <c r="O580" s="1362"/>
      <c r="P580" s="1362"/>
      <c r="Q580" s="1362"/>
      <c r="R580" s="1362"/>
      <c r="T580" s="22"/>
      <c r="U580" t="s">
        <v>17</v>
      </c>
      <c r="Z580" s="1360" t="s">
        <v>2684</v>
      </c>
      <c r="AA580" s="1360"/>
      <c r="AB580" s="1360"/>
      <c r="AC580" s="1360"/>
      <c r="AD580" s="1360"/>
      <c r="AE580" s="1360"/>
      <c r="AF580" s="1360"/>
      <c r="AG580" s="1360"/>
      <c r="AH580" s="1360"/>
      <c r="AI580" s="1360"/>
      <c r="AJ580" s="1360"/>
      <c r="AK580" s="136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78" t="s">
        <v>2715</v>
      </c>
      <c r="H581" s="1378"/>
      <c r="I581" s="1378"/>
      <c r="J581" s="1378"/>
      <c r="K581" s="1378"/>
      <c r="L581" s="1378"/>
      <c r="O581" s="33" t="s">
        <v>206</v>
      </c>
      <c r="P581" s="1367"/>
      <c r="Q581" s="1367"/>
      <c r="R581" s="1367"/>
      <c r="T581" s="22"/>
      <c r="U581" t="s">
        <v>316</v>
      </c>
      <c r="Z581" s="1361" t="s">
        <v>2685</v>
      </c>
      <c r="AA581" s="1361"/>
      <c r="AB581" s="1361"/>
      <c r="AC581" s="1361"/>
      <c r="AD581" s="1361"/>
      <c r="AE581" s="1361"/>
      <c r="AH581" s="33" t="s">
        <v>206</v>
      </c>
      <c r="AI581" s="1367"/>
      <c r="AJ581" s="1367"/>
      <c r="AK581" s="136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60" t="s">
        <v>2427</v>
      </c>
      <c r="I582" s="1360"/>
      <c r="J582" s="1360"/>
      <c r="K582" s="1360"/>
      <c r="L582" s="1360"/>
      <c r="M582" s="1360"/>
      <c r="N582" s="1360"/>
      <c r="O582" s="1360"/>
      <c r="P582" s="1360"/>
      <c r="Q582" s="1360"/>
      <c r="R582" s="1360"/>
      <c r="T582" s="22"/>
      <c r="U582" t="s">
        <v>18</v>
      </c>
      <c r="AA582" s="1360" t="s">
        <v>2731</v>
      </c>
      <c r="AB582" s="1360"/>
      <c r="AC582" s="1360"/>
      <c r="AD582" s="1360"/>
      <c r="AE582" s="1360"/>
      <c r="AF582" s="1360"/>
      <c r="AG582" s="1360"/>
      <c r="AH582" s="1360"/>
      <c r="AI582" s="1360"/>
      <c r="AJ582" s="1360"/>
      <c r="AK582" s="13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6" t="s">
        <v>553</v>
      </c>
      <c r="O583" s="1366"/>
      <c r="T583" s="22"/>
      <c r="U583" t="s">
        <v>20</v>
      </c>
      <c r="AG583" s="1366" t="s">
        <v>553</v>
      </c>
      <c r="AH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71" t="str">
        <f>C558</f>
        <v>Tax Credit Equity - State</v>
      </c>
      <c r="H585" s="1371"/>
      <c r="I585" s="1371"/>
      <c r="J585" s="1371"/>
      <c r="K585" s="1371"/>
      <c r="L585" s="1371"/>
      <c r="M585" s="1371"/>
      <c r="N585" s="1371"/>
      <c r="O585" s="1371"/>
      <c r="P585" s="1371"/>
      <c r="Q585" s="1371"/>
      <c r="R585" s="1371"/>
      <c r="T585" s="55" t="s">
        <v>592</v>
      </c>
      <c r="U585" t="s">
        <v>471</v>
      </c>
      <c r="Z585" s="1371" t="str">
        <f>C559</f>
        <v>Deferred Operating Reserve</v>
      </c>
      <c r="AA585" s="1371"/>
      <c r="AB585" s="1371"/>
      <c r="AC585" s="1371"/>
      <c r="AD585" s="1371"/>
      <c r="AE585" s="1371"/>
      <c r="AF585" s="1371"/>
      <c r="AG585" s="1371"/>
      <c r="AH585" s="1371"/>
      <c r="AI585" s="1371"/>
      <c r="AJ585" s="1371"/>
      <c r="AK585" s="137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60" t="s">
        <v>2682</v>
      </c>
      <c r="H586" s="1360"/>
      <c r="I586" s="1360"/>
      <c r="J586" s="1360"/>
      <c r="K586" s="1360"/>
      <c r="L586" s="1360"/>
      <c r="M586" s="1360"/>
      <c r="N586" s="1360"/>
      <c r="O586" s="1360"/>
      <c r="P586" s="1360"/>
      <c r="Q586" s="1360"/>
      <c r="R586" s="1360"/>
      <c r="T586" s="22"/>
      <c r="U586" t="s">
        <v>85</v>
      </c>
      <c r="Z586" s="1360" t="s">
        <v>2729</v>
      </c>
      <c r="AA586" s="1360"/>
      <c r="AB586" s="1360"/>
      <c r="AC586" s="1360"/>
      <c r="AD586" s="1360"/>
      <c r="AE586" s="1360"/>
      <c r="AF586" s="1360"/>
      <c r="AG586" s="1360"/>
      <c r="AH586" s="1360"/>
      <c r="AI586" s="1360"/>
      <c r="AJ586" s="1360"/>
      <c r="AK586" s="136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60" t="s">
        <v>2683</v>
      </c>
      <c r="H587" s="1360"/>
      <c r="I587" s="1360"/>
      <c r="J587" s="1360"/>
      <c r="K587" s="1360"/>
      <c r="L587" s="1360"/>
      <c r="M587" s="1360"/>
      <c r="N587" s="1360"/>
      <c r="O587" s="1360"/>
      <c r="P587" s="1360"/>
      <c r="Q587" s="1360"/>
      <c r="R587" s="1360"/>
      <c r="T587" s="22"/>
      <c r="U587" t="s">
        <v>588</v>
      </c>
      <c r="Z587" s="1362" t="s">
        <v>502</v>
      </c>
      <c r="AA587" s="1362"/>
      <c r="AB587" s="1362"/>
      <c r="AC587" s="1362"/>
      <c r="AD587" s="1362"/>
      <c r="AE587" s="1362"/>
      <c r="AF587" s="1362"/>
      <c r="AG587" s="1362"/>
      <c r="AH587" s="1362"/>
      <c r="AI587" s="1362"/>
      <c r="AJ587" s="1362"/>
      <c r="AK587" s="13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60" t="s">
        <v>2684</v>
      </c>
      <c r="H588" s="1360"/>
      <c r="I588" s="1360"/>
      <c r="J588" s="1360"/>
      <c r="K588" s="1360"/>
      <c r="L588" s="1360"/>
      <c r="M588" s="1360"/>
      <c r="N588" s="1360"/>
      <c r="O588" s="1360"/>
      <c r="P588" s="1360"/>
      <c r="Q588" s="1360"/>
      <c r="R588" s="1360"/>
      <c r="T588" s="22"/>
      <c r="U588" t="s">
        <v>17</v>
      </c>
      <c r="Z588" s="1362" t="s">
        <v>2730</v>
      </c>
      <c r="AA588" s="1362"/>
      <c r="AB588" s="1362"/>
      <c r="AC588" s="1362"/>
      <c r="AD588" s="1362"/>
      <c r="AE588" s="1362"/>
      <c r="AF588" s="1362"/>
      <c r="AG588" s="1362"/>
      <c r="AH588" s="1362"/>
      <c r="AI588" s="1362"/>
      <c r="AJ588" s="1362"/>
      <c r="AK588" s="1362"/>
    </row>
    <row r="589" spans="1:110" ht="12.95" customHeight="1">
      <c r="A589" s="22"/>
      <c r="B589" t="s">
        <v>316</v>
      </c>
      <c r="G589" s="1361" t="s">
        <v>2685</v>
      </c>
      <c r="H589" s="1361"/>
      <c r="I589" s="1361"/>
      <c r="J589" s="1361"/>
      <c r="K589" s="1361"/>
      <c r="L589" s="1361"/>
      <c r="O589" s="33" t="s">
        <v>206</v>
      </c>
      <c r="P589" s="1367"/>
      <c r="Q589" s="1367"/>
      <c r="R589" s="1367"/>
      <c r="T589" s="22"/>
      <c r="U589" t="s">
        <v>316</v>
      </c>
      <c r="Z589" s="1361" t="s">
        <v>2647</v>
      </c>
      <c r="AA589" s="1378"/>
      <c r="AB589" s="1378"/>
      <c r="AC589" s="1378"/>
      <c r="AD589" s="1378"/>
      <c r="AE589" s="1378"/>
      <c r="AH589" s="33" t="s">
        <v>206</v>
      </c>
      <c r="AI589" s="1367"/>
      <c r="AJ589" s="1367"/>
      <c r="AK589" s="136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60" t="s">
        <v>2731</v>
      </c>
      <c r="I590" s="1360"/>
      <c r="J590" s="1360"/>
      <c r="K590" s="1360"/>
      <c r="L590" s="1360"/>
      <c r="M590" s="1360"/>
      <c r="N590" s="1360"/>
      <c r="O590" s="1360"/>
      <c r="P590" s="1360"/>
      <c r="Q590" s="1360"/>
      <c r="R590" s="1360"/>
      <c r="T590" s="22"/>
      <c r="U590" t="s">
        <v>18</v>
      </c>
      <c r="AA590" s="1360" t="s">
        <v>2774</v>
      </c>
      <c r="AB590" s="1360"/>
      <c r="AC590" s="1360"/>
      <c r="AD590" s="1360"/>
      <c r="AE590" s="1360"/>
      <c r="AF590" s="1360"/>
      <c r="AG590" s="1360"/>
      <c r="AH590" s="1360"/>
      <c r="AI590" s="1360"/>
      <c r="AJ590" s="1360"/>
      <c r="AK590" s="136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6" t="s">
        <v>553</v>
      </c>
      <c r="O591" s="1366"/>
      <c r="T591" s="22"/>
      <c r="U591" t="s">
        <v>20</v>
      </c>
      <c r="AG591" s="1366" t="s">
        <v>553</v>
      </c>
      <c r="AH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71" t="str">
        <f>C560</f>
        <v>Deferred Developer Fee</v>
      </c>
      <c r="H593" s="1371"/>
      <c r="I593" s="1371"/>
      <c r="J593" s="1371"/>
      <c r="K593" s="1371"/>
      <c r="L593" s="1371"/>
      <c r="M593" s="1371"/>
      <c r="N593" s="1371"/>
      <c r="O593" s="1371"/>
      <c r="P593" s="1371"/>
      <c r="Q593" s="1371"/>
      <c r="R593" s="1371"/>
      <c r="T593" s="55" t="s">
        <v>464</v>
      </c>
      <c r="U593" t="s">
        <v>471</v>
      </c>
      <c r="Z593" s="1371">
        <f>C561</f>
        <v>0</v>
      </c>
      <c r="AA593" s="1371"/>
      <c r="AB593" s="1371"/>
      <c r="AC593" s="1371"/>
      <c r="AD593" s="1371"/>
      <c r="AE593" s="1371"/>
      <c r="AF593" s="1371"/>
      <c r="AG593" s="1371"/>
      <c r="AH593" s="1371"/>
      <c r="AI593" s="1371"/>
      <c r="AJ593" s="1371"/>
      <c r="AK593" s="137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60" t="s">
        <v>2729</v>
      </c>
      <c r="H594" s="1360"/>
      <c r="I594" s="1360"/>
      <c r="J594" s="1360"/>
      <c r="K594" s="1360"/>
      <c r="L594" s="1360"/>
      <c r="M594" s="1360"/>
      <c r="N594" s="1360"/>
      <c r="O594" s="1360"/>
      <c r="P594" s="1360"/>
      <c r="Q594" s="1360"/>
      <c r="R594" s="1360"/>
      <c r="S594"/>
      <c r="T594" s="22"/>
      <c r="U594" t="s">
        <v>85</v>
      </c>
      <c r="V594"/>
      <c r="W594"/>
      <c r="X594"/>
      <c r="Y594"/>
      <c r="Z594" s="1360"/>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60" t="s">
        <v>502</v>
      </c>
      <c r="H595" s="1360"/>
      <c r="I595" s="1360"/>
      <c r="J595" s="1360"/>
      <c r="K595" s="1360"/>
      <c r="L595" s="1360"/>
      <c r="M595" s="1360"/>
      <c r="N595" s="1360"/>
      <c r="O595" s="1360"/>
      <c r="P595" s="1360"/>
      <c r="Q595" s="1360"/>
      <c r="R595" s="1360"/>
      <c r="S595"/>
      <c r="T595" s="22"/>
      <c r="U595" t="s">
        <v>588</v>
      </c>
      <c r="V595"/>
      <c r="W595"/>
      <c r="X595"/>
      <c r="Y595"/>
      <c r="Z595" s="1362"/>
      <c r="AA595" s="1362"/>
      <c r="AB595" s="1362"/>
      <c r="AC595" s="1362"/>
      <c r="AD595" s="1362"/>
      <c r="AE595" s="1362"/>
      <c r="AF595" s="1362"/>
      <c r="AG595" s="1362"/>
      <c r="AH595" s="1362"/>
      <c r="AI595" s="1362"/>
      <c r="AJ595" s="1362"/>
      <c r="AK595" s="13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60" t="s">
        <v>2730</v>
      </c>
      <c r="H596" s="1360"/>
      <c r="I596" s="1360"/>
      <c r="J596" s="1360"/>
      <c r="K596" s="1360"/>
      <c r="L596" s="1360"/>
      <c r="M596" s="1360"/>
      <c r="N596" s="1360"/>
      <c r="O596" s="1360"/>
      <c r="P596" s="1360"/>
      <c r="Q596" s="1360"/>
      <c r="R596" s="1360"/>
      <c r="S596"/>
      <c r="T596" s="22"/>
      <c r="U596" t="s">
        <v>17</v>
      </c>
      <c r="V596"/>
      <c r="W596"/>
      <c r="X596"/>
      <c r="Y596"/>
      <c r="Z596" s="1362"/>
      <c r="AA596" s="1362"/>
      <c r="AB596" s="1362"/>
      <c r="AC596" s="1362"/>
      <c r="AD596" s="1362"/>
      <c r="AE596" s="1362"/>
      <c r="AF596" s="1362"/>
      <c r="AG596" s="1362"/>
      <c r="AH596" s="1362"/>
      <c r="AI596" s="1362"/>
      <c r="AJ596" s="1362"/>
      <c r="AK596" s="1362"/>
      <c r="AL596"/>
      <c r="AM596"/>
      <c r="AN596"/>
      <c r="AO596"/>
      <c r="AP596"/>
      <c r="AQ596"/>
      <c r="AR596"/>
      <c r="AS596"/>
      <c r="AT596"/>
      <c r="AU596"/>
      <c r="AV596"/>
      <c r="AW596"/>
      <c r="AX596"/>
      <c r="AY596"/>
      <c r="BA596" s="4" t="s">
        <v>324</v>
      </c>
      <c r="BB596" s="3"/>
      <c r="BC596" s="3"/>
      <c r="BD596" s="3"/>
      <c r="BE596" s="121" t="s">
        <v>482</v>
      </c>
      <c r="BF596" s="122"/>
      <c r="BG596" s="1504"/>
      <c r="BH596" s="1505"/>
      <c r="BI596" s="121" t="s">
        <v>483</v>
      </c>
      <c r="BJ596" s="122"/>
      <c r="BK596" s="1504"/>
      <c r="BL596" s="1505"/>
      <c r="BM596" s="3"/>
      <c r="BN596" s="1506" t="s">
        <v>641</v>
      </c>
      <c r="BO596" s="1507"/>
      <c r="BP596" s="1507"/>
      <c r="BQ596" s="1507"/>
      <c r="BR596" s="1508"/>
      <c r="BS596" s="1512" t="s">
        <v>325</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325</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325</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316</v>
      </c>
      <c r="C597"/>
      <c r="D597"/>
      <c r="E597"/>
      <c r="F597"/>
      <c r="G597" s="1361" t="s">
        <v>2647</v>
      </c>
      <c r="H597" s="1378"/>
      <c r="I597" s="1378"/>
      <c r="J597" s="1378"/>
      <c r="K597" s="1378"/>
      <c r="L597" s="1378"/>
      <c r="M597"/>
      <c r="N597"/>
      <c r="O597" s="33" t="s">
        <v>206</v>
      </c>
      <c r="P597" s="1367"/>
      <c r="Q597" s="1367"/>
      <c r="R597" s="1367"/>
      <c r="S597"/>
      <c r="T597" s="22"/>
      <c r="U597" t="s">
        <v>316</v>
      </c>
      <c r="V597"/>
      <c r="W597"/>
      <c r="X597"/>
      <c r="Y597"/>
      <c r="Z597" s="1378"/>
      <c r="AA597" s="1378"/>
      <c r="AB597" s="1378"/>
      <c r="AC597" s="1378"/>
      <c r="AD597" s="1378"/>
      <c r="AE597" s="1378"/>
      <c r="AF597"/>
      <c r="AG597"/>
      <c r="AH597" s="33" t="s">
        <v>206</v>
      </c>
      <c r="AI597" s="1367"/>
      <c r="AJ597" s="1367"/>
      <c r="AK597" s="1367"/>
      <c r="AL597"/>
      <c r="AM597"/>
      <c r="AN597"/>
      <c r="AO597"/>
      <c r="AP597"/>
      <c r="AQ597"/>
      <c r="AR597"/>
      <c r="AS597"/>
      <c r="AT597"/>
      <c r="AU597"/>
      <c r="AV597"/>
      <c r="AW597"/>
      <c r="AX597"/>
      <c r="AY597"/>
      <c r="BA597" s="4" t="s">
        <v>325</v>
      </c>
      <c r="BB597" s="3"/>
      <c r="BC597" s="3"/>
      <c r="BD597" s="3"/>
      <c r="BE597" s="1379">
        <f t="shared" ref="BE597:BE631" si="1">IF(AND(AC718&lt;=0.5,AC718&gt;=0.36),1,0)</f>
        <v>0</v>
      </c>
      <c r="BF597" s="1381"/>
      <c r="BG597" s="1504">
        <f t="shared" ref="BG597:BG631" si="2">IF(BE597=1,G718,0)</f>
        <v>0</v>
      </c>
      <c r="BH597" s="1505"/>
      <c r="BI597" s="1379">
        <f t="shared" ref="BI597:BI631" si="3">IF(AND(AC718&lt;=0.35,AC718&gt;0),1,0)</f>
        <v>1</v>
      </c>
      <c r="BJ597" s="1381"/>
      <c r="BK597" s="1504">
        <f t="shared" ref="BK597:BK631" si="4">IF(BI597=1,G718,0)</f>
        <v>20</v>
      </c>
      <c r="BL597" s="1505"/>
      <c r="BM597" s="3"/>
      <c r="BN597" s="1385">
        <f t="shared" ref="BN597:BN631" si="5">IF(B718="SRO/Studio",G718,0)</f>
        <v>0</v>
      </c>
      <c r="BO597" s="1386"/>
      <c r="BP597" s="1386"/>
      <c r="BQ597" s="1386"/>
      <c r="BR597" s="1387"/>
      <c r="BS597" s="1384">
        <f t="shared" ref="BS597:BS631" si="6">IF(B718="1 Bedroom",G718,0)</f>
        <v>20</v>
      </c>
      <c r="BT597" s="1384"/>
      <c r="BU597" s="1384"/>
      <c r="BV597" s="1384"/>
      <c r="BW597" s="1384"/>
      <c r="BX597" s="1384">
        <f t="shared" ref="BX597:BX631" si="7">IF(B718="2 Bedrooms",G718,0)</f>
        <v>0</v>
      </c>
      <c r="BY597" s="1384"/>
      <c r="BZ597" s="1384"/>
      <c r="CA597" s="1384"/>
      <c r="CB597" s="1384"/>
      <c r="CC597" s="1384">
        <f t="shared" ref="CC597:CC631" si="8">IF(B718="3 Bedrooms",G718,0)</f>
        <v>0</v>
      </c>
      <c r="CD597" s="1384"/>
      <c r="CE597" s="1384"/>
      <c r="CF597" s="1384"/>
      <c r="CG597" s="1384"/>
      <c r="CH597" s="1384">
        <f t="shared" ref="CH597:CH631" si="9">IF(B718="4 Bedrooms",G718,0)</f>
        <v>0</v>
      </c>
      <c r="CI597" s="1384"/>
      <c r="CJ597" s="1384"/>
      <c r="CK597" s="1384"/>
      <c r="CL597" s="1384"/>
      <c r="CM597" s="1384">
        <f t="shared" ref="CM597:CM631" si="10">IF(B718="5 Bedrooms",G718,0)</f>
        <v>0</v>
      </c>
      <c r="CN597" s="1384"/>
      <c r="CO597" s="1384"/>
      <c r="CP597" s="1384"/>
      <c r="CQ597" s="1384"/>
      <c r="CR597" s="6"/>
      <c r="CS597" s="1383">
        <f t="shared" ref="CS597:CS631" si="11">IF(AND(B718="SRO/Studio",AC718&lt;=0.3),G718,0)</f>
        <v>0</v>
      </c>
      <c r="CT597" s="1383"/>
      <c r="CU597" s="1383"/>
      <c r="CV597" s="1383"/>
      <c r="CW597" s="1383"/>
      <c r="CX597" s="1383">
        <f t="shared" ref="CX597:CX631" si="12">IF(AND(B718="1 Bedroom",AC718&lt;=0.3),G718,0)</f>
        <v>20</v>
      </c>
      <c r="CY597" s="1383"/>
      <c r="CZ597" s="1383"/>
      <c r="DA597" s="1383"/>
      <c r="DB597" s="1383"/>
      <c r="DC597" s="1383">
        <f t="shared" ref="DC597:DC631" si="13">IF(AND(B718="2 Bedrooms",AC718&lt;=0.3),G718,0)</f>
        <v>0</v>
      </c>
      <c r="DD597" s="1383"/>
      <c r="DE597" s="1383"/>
      <c r="DF597" s="1383"/>
      <c r="DG597" s="1383"/>
      <c r="DH597" s="1383">
        <f t="shared" ref="DH597:DH631" si="14">IF(AND(B718="3 Bedrooms",AC718&lt;=0.3),G718,0)</f>
        <v>0</v>
      </c>
      <c r="DI597" s="1383"/>
      <c r="DJ597" s="1383"/>
      <c r="DK597" s="1383"/>
      <c r="DL597" s="1383"/>
      <c r="DM597" s="1383">
        <f t="shared" ref="DM597:DM631" si="15">IF(AND(B718="4 Bedrooms",AC718&lt;=0.3),G718,0)</f>
        <v>0</v>
      </c>
      <c r="DN597" s="1383"/>
      <c r="DO597" s="1383"/>
      <c r="DP597" s="1383"/>
      <c r="DQ597" s="1383"/>
      <c r="DR597" s="1383">
        <f t="shared" ref="DR597:DR631" si="16">IF(AND(B718="5 Bedrooms",AC718&lt;=0.3),G718,0)</f>
        <v>0</v>
      </c>
      <c r="DS597" s="1383"/>
      <c r="DT597" s="1383"/>
      <c r="DU597" s="1383"/>
      <c r="DV597" s="1383"/>
      <c r="DX597" s="1379" t="str">
        <f t="shared" ref="DX597:DX631" si="17">IF(BN597&gt;0,O718,"")</f>
        <v/>
      </c>
      <c r="DY597" s="1380"/>
      <c r="DZ597" s="1380"/>
      <c r="EA597" s="1380"/>
      <c r="EB597" s="1381"/>
      <c r="EC597" s="1379">
        <f t="shared" ref="EC597:EC631" si="18">IF(BS597&gt;0,O718,"")</f>
        <v>631</v>
      </c>
      <c r="ED597" s="1380"/>
      <c r="EE597" s="1380"/>
      <c r="EF597" s="1380"/>
      <c r="EG597" s="1381"/>
      <c r="EH597" s="1379" t="str">
        <f t="shared" ref="EH597:EH631" si="19">IF(BX597&gt;0,O718,"")</f>
        <v/>
      </c>
      <c r="EI597" s="1380"/>
      <c r="EJ597" s="1380"/>
      <c r="EK597" s="1380"/>
      <c r="EL597" s="1381"/>
      <c r="EM597" s="1379" t="str">
        <f t="shared" ref="EM597:EM631" si="20">IF(CC597&gt;0,O718,"")</f>
        <v/>
      </c>
      <c r="EN597" s="1380"/>
      <c r="EO597" s="1380"/>
      <c r="EP597" s="1380"/>
      <c r="EQ597" s="1381"/>
      <c r="ER597" s="1379" t="str">
        <f t="shared" ref="ER597:ER631" si="21">IF(CH597&gt;0,O718,"")</f>
        <v/>
      </c>
      <c r="ES597" s="1380"/>
      <c r="ET597" s="1380"/>
      <c r="EU597" s="1380"/>
      <c r="EV597" s="1381"/>
      <c r="EW597" s="1379" t="str">
        <f t="shared" ref="EW597:EW631" si="22">IF(CM597&gt;0,O718,"")</f>
        <v/>
      </c>
      <c r="EX597" s="1380"/>
      <c r="EY597" s="1380"/>
      <c r="EZ597" s="1380"/>
      <c r="FA597" s="1381"/>
    </row>
    <row r="598" spans="1:157" s="4" customFormat="1" ht="12.95" customHeight="1">
      <c r="A598" s="22"/>
      <c r="B598" t="s">
        <v>18</v>
      </c>
      <c r="C598"/>
      <c r="D598"/>
      <c r="E598"/>
      <c r="F598"/>
      <c r="G598"/>
      <c r="H598" s="1360" t="s">
        <v>1845</v>
      </c>
      <c r="I598" s="1360"/>
      <c r="J598" s="1360"/>
      <c r="K598" s="1360"/>
      <c r="L598" s="1360"/>
      <c r="M598" s="1360"/>
      <c r="N598" s="1360"/>
      <c r="O598" s="1360"/>
      <c r="P598" s="1360"/>
      <c r="Q598" s="1360"/>
      <c r="R598" s="1360"/>
      <c r="S598"/>
      <c r="T598" s="22"/>
      <c r="U598" t="s">
        <v>18</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BA598" s="4" t="s">
        <v>163</v>
      </c>
      <c r="BB598" s="3"/>
      <c r="BC598" s="3"/>
      <c r="BD598" s="3"/>
      <c r="BE598" s="1379">
        <f t="shared" si="1"/>
        <v>1</v>
      </c>
      <c r="BF598" s="1381"/>
      <c r="BG598" s="1504">
        <f t="shared" si="2"/>
        <v>6</v>
      </c>
      <c r="BH598" s="1505"/>
      <c r="BI598" s="1379">
        <f t="shared" si="3"/>
        <v>0</v>
      </c>
      <c r="BJ598" s="1381"/>
      <c r="BK598" s="1504">
        <f t="shared" si="4"/>
        <v>0</v>
      </c>
      <c r="BL598" s="1505"/>
      <c r="BM598" s="3"/>
      <c r="BN598" s="1385">
        <f t="shared" si="5"/>
        <v>0</v>
      </c>
      <c r="BO598" s="1386"/>
      <c r="BP598" s="1386"/>
      <c r="BQ598" s="1386"/>
      <c r="BR598" s="1387"/>
      <c r="BS598" s="1384">
        <f t="shared" si="6"/>
        <v>6</v>
      </c>
      <c r="BT598" s="1384"/>
      <c r="BU598" s="1384"/>
      <c r="BV598" s="1384"/>
      <c r="BW598" s="1384"/>
      <c r="BX598" s="1384">
        <f t="shared" si="7"/>
        <v>0</v>
      </c>
      <c r="BY598" s="1384"/>
      <c r="BZ598" s="1384"/>
      <c r="CA598" s="1384"/>
      <c r="CB598" s="1384"/>
      <c r="CC598" s="1384">
        <f t="shared" si="8"/>
        <v>0</v>
      </c>
      <c r="CD598" s="1384"/>
      <c r="CE598" s="1384"/>
      <c r="CF598" s="1384"/>
      <c r="CG598" s="1384"/>
      <c r="CH598" s="1384">
        <f t="shared" si="9"/>
        <v>0</v>
      </c>
      <c r="CI598" s="1384"/>
      <c r="CJ598" s="1384"/>
      <c r="CK598" s="1384"/>
      <c r="CL598" s="1384"/>
      <c r="CM598" s="1384">
        <f t="shared" si="10"/>
        <v>0</v>
      </c>
      <c r="CN598" s="1384"/>
      <c r="CO598" s="1384"/>
      <c r="CP598" s="1384"/>
      <c r="CQ598" s="1384"/>
      <c r="CR598" s="6"/>
      <c r="CS598" s="1383">
        <f t="shared" si="11"/>
        <v>0</v>
      </c>
      <c r="CT598" s="1383"/>
      <c r="CU598" s="1383"/>
      <c r="CV598" s="1383"/>
      <c r="CW598" s="1383"/>
      <c r="CX598" s="1383">
        <f t="shared" si="12"/>
        <v>0</v>
      </c>
      <c r="CY598" s="1383"/>
      <c r="CZ598" s="1383"/>
      <c r="DA598" s="1383"/>
      <c r="DB598" s="1383"/>
      <c r="DC598" s="1383">
        <f t="shared" si="13"/>
        <v>0</v>
      </c>
      <c r="DD598" s="1383"/>
      <c r="DE598" s="1383"/>
      <c r="DF598" s="1383"/>
      <c r="DG598" s="1383"/>
      <c r="DH598" s="1383">
        <f t="shared" si="14"/>
        <v>0</v>
      </c>
      <c r="DI598" s="1383"/>
      <c r="DJ598" s="1383"/>
      <c r="DK598" s="1383"/>
      <c r="DL598" s="1383"/>
      <c r="DM598" s="1383">
        <f t="shared" si="15"/>
        <v>0</v>
      </c>
      <c r="DN598" s="1383"/>
      <c r="DO598" s="1383"/>
      <c r="DP598" s="1383"/>
      <c r="DQ598" s="1383"/>
      <c r="DR598" s="1383">
        <f t="shared" si="16"/>
        <v>0</v>
      </c>
      <c r="DS598" s="1383"/>
      <c r="DT598" s="1383"/>
      <c r="DU598" s="1383"/>
      <c r="DV598" s="1383"/>
      <c r="DX598" s="1379" t="str">
        <f t="shared" si="17"/>
        <v/>
      </c>
      <c r="DY598" s="1380"/>
      <c r="DZ598" s="1380"/>
      <c r="EA598" s="1380"/>
      <c r="EB598" s="1381"/>
      <c r="EC598" s="1379">
        <f t="shared" si="18"/>
        <v>1104</v>
      </c>
      <c r="ED598" s="1380"/>
      <c r="EE598" s="1380"/>
      <c r="EF598" s="1380"/>
      <c r="EG598" s="1381"/>
      <c r="EH598" s="1379" t="str">
        <f t="shared" si="19"/>
        <v/>
      </c>
      <c r="EI598" s="1380"/>
      <c r="EJ598" s="1380"/>
      <c r="EK598" s="1380"/>
      <c r="EL598" s="1381"/>
      <c r="EM598" s="1379" t="str">
        <f t="shared" si="20"/>
        <v/>
      </c>
      <c r="EN598" s="1380"/>
      <c r="EO598" s="1380"/>
      <c r="EP598" s="1380"/>
      <c r="EQ598" s="1381"/>
      <c r="ER598" s="1379" t="str">
        <f t="shared" si="21"/>
        <v/>
      </c>
      <c r="ES598" s="1380"/>
      <c r="ET598" s="1380"/>
      <c r="EU598" s="1380"/>
      <c r="EV598" s="1381"/>
      <c r="EW598" s="1379" t="str">
        <f t="shared" si="22"/>
        <v/>
      </c>
      <c r="EX598" s="1380"/>
      <c r="EY598" s="1380"/>
      <c r="EZ598" s="1380"/>
      <c r="FA598" s="1381"/>
    </row>
    <row r="599" spans="1:157" ht="12.95" customHeight="1">
      <c r="A599" s="22"/>
      <c r="B599" t="s">
        <v>20</v>
      </c>
      <c r="N599" s="1366" t="s">
        <v>553</v>
      </c>
      <c r="O599" s="1366"/>
      <c r="T599" s="22"/>
      <c r="U599" t="s">
        <v>20</v>
      </c>
      <c r="AG599" s="1366" t="s">
        <v>677</v>
      </c>
      <c r="AH599" s="1366"/>
      <c r="BA599" s="4" t="s">
        <v>164</v>
      </c>
      <c r="BB599" s="3"/>
      <c r="BC599" s="3"/>
      <c r="BD599" s="3"/>
      <c r="BE599" s="1379">
        <f t="shared" si="1"/>
        <v>0</v>
      </c>
      <c r="BF599" s="1381"/>
      <c r="BG599" s="1504">
        <f t="shared" si="2"/>
        <v>0</v>
      </c>
      <c r="BH599" s="1505"/>
      <c r="BI599" s="1379">
        <f t="shared" si="3"/>
        <v>0</v>
      </c>
      <c r="BJ599" s="1381"/>
      <c r="BK599" s="1504">
        <f t="shared" si="4"/>
        <v>0</v>
      </c>
      <c r="BL599" s="1505"/>
      <c r="BM599" s="3"/>
      <c r="BN599" s="1385">
        <f t="shared" si="5"/>
        <v>0</v>
      </c>
      <c r="BO599" s="1386"/>
      <c r="BP599" s="1386"/>
      <c r="BQ599" s="1386"/>
      <c r="BR599" s="1387"/>
      <c r="BS599" s="1384">
        <f t="shared" si="6"/>
        <v>42</v>
      </c>
      <c r="BT599" s="1384"/>
      <c r="BU599" s="1384"/>
      <c r="BV599" s="1384"/>
      <c r="BW599" s="1384"/>
      <c r="BX599" s="1384">
        <f t="shared" si="7"/>
        <v>0</v>
      </c>
      <c r="BY599" s="1384"/>
      <c r="BZ599" s="1384"/>
      <c r="CA599" s="1384"/>
      <c r="CB599" s="1384"/>
      <c r="CC599" s="1384">
        <f t="shared" si="8"/>
        <v>0</v>
      </c>
      <c r="CD599" s="1384"/>
      <c r="CE599" s="1384"/>
      <c r="CF599" s="1384"/>
      <c r="CG599" s="1384"/>
      <c r="CH599" s="1384">
        <f t="shared" si="9"/>
        <v>0</v>
      </c>
      <c r="CI599" s="1384"/>
      <c r="CJ599" s="1384"/>
      <c r="CK599" s="1384"/>
      <c r="CL599" s="1384"/>
      <c r="CM599" s="1384">
        <f t="shared" si="10"/>
        <v>0</v>
      </c>
      <c r="CN599" s="1384"/>
      <c r="CO599" s="1384"/>
      <c r="CP599" s="1384"/>
      <c r="CQ599" s="1384"/>
      <c r="CR599" s="6"/>
      <c r="CS599" s="1383">
        <f t="shared" si="11"/>
        <v>0</v>
      </c>
      <c r="CT599" s="1383"/>
      <c r="CU599" s="1383"/>
      <c r="CV599" s="1383"/>
      <c r="CW599" s="1383"/>
      <c r="CX599" s="1383">
        <f t="shared" si="12"/>
        <v>0</v>
      </c>
      <c r="CY599" s="1383"/>
      <c r="CZ599" s="1383"/>
      <c r="DA599" s="1383"/>
      <c r="DB599" s="1383"/>
      <c r="DC599" s="1383">
        <f t="shared" si="13"/>
        <v>0</v>
      </c>
      <c r="DD599" s="1383"/>
      <c r="DE599" s="1383"/>
      <c r="DF599" s="1383"/>
      <c r="DG599" s="1383"/>
      <c r="DH599" s="1383">
        <f t="shared" si="14"/>
        <v>0</v>
      </c>
      <c r="DI599" s="1383"/>
      <c r="DJ599" s="1383"/>
      <c r="DK599" s="1383"/>
      <c r="DL599" s="1383"/>
      <c r="DM599" s="1383">
        <f t="shared" si="15"/>
        <v>0</v>
      </c>
      <c r="DN599" s="1383"/>
      <c r="DO599" s="1383"/>
      <c r="DP599" s="1383"/>
      <c r="DQ599" s="1383"/>
      <c r="DR599" s="1383">
        <f t="shared" si="16"/>
        <v>0</v>
      </c>
      <c r="DS599" s="1383"/>
      <c r="DT599" s="1383"/>
      <c r="DU599" s="1383"/>
      <c r="DV599" s="1383"/>
      <c r="DX599" s="1379" t="str">
        <f t="shared" si="17"/>
        <v/>
      </c>
      <c r="DY599" s="1380"/>
      <c r="DZ599" s="1380"/>
      <c r="EA599" s="1380"/>
      <c r="EB599" s="1381"/>
      <c r="EC599" s="1379">
        <f t="shared" si="18"/>
        <v>1341</v>
      </c>
      <c r="ED599" s="1380"/>
      <c r="EE599" s="1380"/>
      <c r="EF599" s="1380"/>
      <c r="EG599" s="1381"/>
      <c r="EH599" s="1379" t="str">
        <f t="shared" si="19"/>
        <v/>
      </c>
      <c r="EI599" s="1380"/>
      <c r="EJ599" s="1380"/>
      <c r="EK599" s="1380"/>
      <c r="EL599" s="1381"/>
      <c r="EM599" s="1379" t="str">
        <f t="shared" si="20"/>
        <v/>
      </c>
      <c r="EN599" s="1380"/>
      <c r="EO599" s="1380"/>
      <c r="EP599" s="1380"/>
      <c r="EQ599" s="1381"/>
      <c r="ER599" s="1379" t="str">
        <f t="shared" si="21"/>
        <v/>
      </c>
      <c r="ES599" s="1380"/>
      <c r="ET599" s="1380"/>
      <c r="EU599" s="1380"/>
      <c r="EV599" s="1381"/>
      <c r="EW599" s="1379" t="str">
        <f t="shared" si="22"/>
        <v/>
      </c>
      <c r="EX599" s="1380"/>
      <c r="EY599" s="1380"/>
      <c r="EZ599" s="1380"/>
      <c r="FA599" s="1381"/>
    </row>
    <row r="600" spans="1:157" ht="12.95" customHeight="1">
      <c r="A600" s="22"/>
      <c r="T600" s="22"/>
      <c r="BA600" s="4" t="s">
        <v>165</v>
      </c>
      <c r="BB600" s="3"/>
      <c r="BC600" s="3"/>
      <c r="BD600" s="3"/>
      <c r="BE600" s="1379">
        <f t="shared" si="1"/>
        <v>0</v>
      </c>
      <c r="BF600" s="1381"/>
      <c r="BG600" s="1504">
        <f t="shared" si="2"/>
        <v>0</v>
      </c>
      <c r="BH600" s="1505"/>
      <c r="BI600" s="1379">
        <f t="shared" si="3"/>
        <v>0</v>
      </c>
      <c r="BJ600" s="1381"/>
      <c r="BK600" s="1504">
        <f t="shared" si="4"/>
        <v>0</v>
      </c>
      <c r="BL600" s="1505"/>
      <c r="BM600" s="3"/>
      <c r="BN600" s="1385">
        <f t="shared" si="5"/>
        <v>0</v>
      </c>
      <c r="BO600" s="1386"/>
      <c r="BP600" s="1386"/>
      <c r="BQ600" s="1386"/>
      <c r="BR600" s="1387"/>
      <c r="BS600" s="1384">
        <f t="shared" si="6"/>
        <v>8</v>
      </c>
      <c r="BT600" s="1384"/>
      <c r="BU600" s="1384"/>
      <c r="BV600" s="1384"/>
      <c r="BW600" s="1384"/>
      <c r="BX600" s="1384">
        <f t="shared" si="7"/>
        <v>0</v>
      </c>
      <c r="BY600" s="1384"/>
      <c r="BZ600" s="1384"/>
      <c r="CA600" s="1384"/>
      <c r="CB600" s="1384"/>
      <c r="CC600" s="1384">
        <f t="shared" si="8"/>
        <v>0</v>
      </c>
      <c r="CD600" s="1384"/>
      <c r="CE600" s="1384"/>
      <c r="CF600" s="1384"/>
      <c r="CG600" s="1384"/>
      <c r="CH600" s="1384">
        <f t="shared" si="9"/>
        <v>0</v>
      </c>
      <c r="CI600" s="1384"/>
      <c r="CJ600" s="1384"/>
      <c r="CK600" s="1384"/>
      <c r="CL600" s="1384"/>
      <c r="CM600" s="1384">
        <f t="shared" si="10"/>
        <v>0</v>
      </c>
      <c r="CN600" s="1384"/>
      <c r="CO600" s="1384"/>
      <c r="CP600" s="1384"/>
      <c r="CQ600" s="1384"/>
      <c r="CR600" s="6"/>
      <c r="CS600" s="1383">
        <f t="shared" si="11"/>
        <v>0</v>
      </c>
      <c r="CT600" s="1383"/>
      <c r="CU600" s="1383"/>
      <c r="CV600" s="1383"/>
      <c r="CW600" s="1383"/>
      <c r="CX600" s="1383">
        <f t="shared" si="12"/>
        <v>0</v>
      </c>
      <c r="CY600" s="1383"/>
      <c r="CZ600" s="1383"/>
      <c r="DA600" s="1383"/>
      <c r="DB600" s="1383"/>
      <c r="DC600" s="1383">
        <f t="shared" si="13"/>
        <v>0</v>
      </c>
      <c r="DD600" s="1383"/>
      <c r="DE600" s="1383"/>
      <c r="DF600" s="1383"/>
      <c r="DG600" s="1383"/>
      <c r="DH600" s="1383">
        <f t="shared" si="14"/>
        <v>0</v>
      </c>
      <c r="DI600" s="1383"/>
      <c r="DJ600" s="1383"/>
      <c r="DK600" s="1383"/>
      <c r="DL600" s="1383"/>
      <c r="DM600" s="1383">
        <f t="shared" si="15"/>
        <v>0</v>
      </c>
      <c r="DN600" s="1383"/>
      <c r="DO600" s="1383"/>
      <c r="DP600" s="1383"/>
      <c r="DQ600" s="1383"/>
      <c r="DR600" s="1383">
        <f t="shared" si="16"/>
        <v>0</v>
      </c>
      <c r="DS600" s="1383"/>
      <c r="DT600" s="1383"/>
      <c r="DU600" s="1383"/>
      <c r="DV600" s="1383"/>
      <c r="DX600" s="1379" t="str">
        <f t="shared" si="17"/>
        <v/>
      </c>
      <c r="DY600" s="1380"/>
      <c r="DZ600" s="1380"/>
      <c r="EA600" s="1380"/>
      <c r="EB600" s="1381"/>
      <c r="EC600" s="1379">
        <f t="shared" si="18"/>
        <v>1577</v>
      </c>
      <c r="ED600" s="1380"/>
      <c r="EE600" s="1380"/>
      <c r="EF600" s="1380"/>
      <c r="EG600" s="1381"/>
      <c r="EH600" s="1379" t="str">
        <f t="shared" si="19"/>
        <v/>
      </c>
      <c r="EI600" s="1380"/>
      <c r="EJ600" s="1380"/>
      <c r="EK600" s="1380"/>
      <c r="EL600" s="1381"/>
      <c r="EM600" s="1379" t="str">
        <f t="shared" si="20"/>
        <v/>
      </c>
      <c r="EN600" s="1380"/>
      <c r="EO600" s="1380"/>
      <c r="EP600" s="1380"/>
      <c r="EQ600" s="1381"/>
      <c r="ER600" s="1379" t="str">
        <f t="shared" si="21"/>
        <v/>
      </c>
      <c r="ES600" s="1380"/>
      <c r="ET600" s="1380"/>
      <c r="EU600" s="1380"/>
      <c r="EV600" s="1381"/>
      <c r="EW600" s="1379" t="str">
        <f t="shared" si="22"/>
        <v/>
      </c>
      <c r="EX600" s="1380"/>
      <c r="EY600" s="1380"/>
      <c r="EZ600" s="1380"/>
      <c r="FA600" s="1381"/>
    </row>
    <row r="601" spans="1:157" ht="12.95" customHeight="1">
      <c r="A601" s="55" t="s">
        <v>469</v>
      </c>
      <c r="B601" t="s">
        <v>471</v>
      </c>
      <c r="G601" s="1371">
        <f>C562</f>
        <v>0</v>
      </c>
      <c r="H601" s="1371"/>
      <c r="I601" s="1371"/>
      <c r="J601" s="1371"/>
      <c r="K601" s="1371"/>
      <c r="L601" s="1371"/>
      <c r="M601" s="1371"/>
      <c r="N601" s="1371"/>
      <c r="O601" s="1371"/>
      <c r="P601" s="1371"/>
      <c r="Q601" s="1371"/>
      <c r="R601" s="1371"/>
      <c r="T601" s="55" t="s">
        <v>654</v>
      </c>
      <c r="U601" t="s">
        <v>471</v>
      </c>
      <c r="Z601" s="1371">
        <f>C563</f>
        <v>0</v>
      </c>
      <c r="AA601" s="1371"/>
      <c r="AB601" s="1371"/>
      <c r="AC601" s="1371"/>
      <c r="AD601" s="1371"/>
      <c r="AE601" s="1371"/>
      <c r="AF601" s="1371"/>
      <c r="AG601" s="1371"/>
      <c r="AH601" s="1371"/>
      <c r="AI601" s="1371"/>
      <c r="AJ601" s="1371"/>
      <c r="AK601" s="1371"/>
      <c r="BA601" s="4" t="s">
        <v>30</v>
      </c>
      <c r="BB601" s="3"/>
      <c r="BC601" s="3"/>
      <c r="BD601" s="3"/>
      <c r="BE601" s="1379">
        <f t="shared" si="1"/>
        <v>0</v>
      </c>
      <c r="BF601" s="1381"/>
      <c r="BG601" s="1504">
        <f t="shared" si="2"/>
        <v>0</v>
      </c>
      <c r="BH601" s="1505"/>
      <c r="BI601" s="1379">
        <f t="shared" si="3"/>
        <v>1</v>
      </c>
      <c r="BJ601" s="1381"/>
      <c r="BK601" s="1504">
        <f t="shared" si="4"/>
        <v>10</v>
      </c>
      <c r="BL601" s="1505"/>
      <c r="BM601" s="3"/>
      <c r="BN601" s="1385">
        <f t="shared" si="5"/>
        <v>0</v>
      </c>
      <c r="BO601" s="1386"/>
      <c r="BP601" s="1386"/>
      <c r="BQ601" s="1386"/>
      <c r="BR601" s="1387"/>
      <c r="BS601" s="1384">
        <f t="shared" si="6"/>
        <v>0</v>
      </c>
      <c r="BT601" s="1384"/>
      <c r="BU601" s="1384"/>
      <c r="BV601" s="1384"/>
      <c r="BW601" s="1384"/>
      <c r="BX601" s="1384">
        <f t="shared" si="7"/>
        <v>10</v>
      </c>
      <c r="BY601" s="1384"/>
      <c r="BZ601" s="1384"/>
      <c r="CA601" s="1384"/>
      <c r="CB601" s="1384"/>
      <c r="CC601" s="1384">
        <f t="shared" si="8"/>
        <v>0</v>
      </c>
      <c r="CD601" s="1384"/>
      <c r="CE601" s="1384"/>
      <c r="CF601" s="1384"/>
      <c r="CG601" s="1384"/>
      <c r="CH601" s="1384">
        <f t="shared" si="9"/>
        <v>0</v>
      </c>
      <c r="CI601" s="1384"/>
      <c r="CJ601" s="1384"/>
      <c r="CK601" s="1384"/>
      <c r="CL601" s="1384"/>
      <c r="CM601" s="1384">
        <f t="shared" si="10"/>
        <v>0</v>
      </c>
      <c r="CN601" s="1384"/>
      <c r="CO601" s="1384"/>
      <c r="CP601" s="1384"/>
      <c r="CQ601" s="1384"/>
      <c r="CR601" s="6"/>
      <c r="CS601" s="1383">
        <f t="shared" si="11"/>
        <v>0</v>
      </c>
      <c r="CT601" s="1383"/>
      <c r="CU601" s="1383"/>
      <c r="CV601" s="1383"/>
      <c r="CW601" s="1383"/>
      <c r="CX601" s="1383">
        <f t="shared" si="12"/>
        <v>0</v>
      </c>
      <c r="CY601" s="1383"/>
      <c r="CZ601" s="1383"/>
      <c r="DA601" s="1383"/>
      <c r="DB601" s="1383"/>
      <c r="DC601" s="1383">
        <f t="shared" si="13"/>
        <v>10</v>
      </c>
      <c r="DD601" s="1383"/>
      <c r="DE601" s="1383"/>
      <c r="DF601" s="1383"/>
      <c r="DG601" s="1383"/>
      <c r="DH601" s="1383">
        <f t="shared" si="14"/>
        <v>0</v>
      </c>
      <c r="DI601" s="1383"/>
      <c r="DJ601" s="1383"/>
      <c r="DK601" s="1383"/>
      <c r="DL601" s="1383"/>
      <c r="DM601" s="1383">
        <f t="shared" si="15"/>
        <v>0</v>
      </c>
      <c r="DN601" s="1383"/>
      <c r="DO601" s="1383"/>
      <c r="DP601" s="1383"/>
      <c r="DQ601" s="1383"/>
      <c r="DR601" s="1383">
        <f t="shared" si="16"/>
        <v>0</v>
      </c>
      <c r="DS601" s="1383"/>
      <c r="DT601" s="1383"/>
      <c r="DU601" s="1383"/>
      <c r="DV601" s="1383"/>
      <c r="DX601" s="1379" t="str">
        <f t="shared" si="17"/>
        <v/>
      </c>
      <c r="DY601" s="1380"/>
      <c r="DZ601" s="1380"/>
      <c r="EA601" s="1380"/>
      <c r="EB601" s="1381"/>
      <c r="EC601" s="1379" t="str">
        <f t="shared" si="18"/>
        <v/>
      </c>
      <c r="ED601" s="1380"/>
      <c r="EE601" s="1380"/>
      <c r="EF601" s="1380"/>
      <c r="EG601" s="1381"/>
      <c r="EH601" s="1379">
        <f t="shared" si="19"/>
        <v>753</v>
      </c>
      <c r="EI601" s="1380"/>
      <c r="EJ601" s="1380"/>
      <c r="EK601" s="1380"/>
      <c r="EL601" s="1381"/>
      <c r="EM601" s="1379" t="str">
        <f t="shared" si="20"/>
        <v/>
      </c>
      <c r="EN601" s="1380"/>
      <c r="EO601" s="1380"/>
      <c r="EP601" s="1380"/>
      <c r="EQ601" s="1381"/>
      <c r="ER601" s="1379" t="str">
        <f t="shared" si="21"/>
        <v/>
      </c>
      <c r="ES601" s="1380"/>
      <c r="ET601" s="1380"/>
      <c r="EU601" s="1380"/>
      <c r="EV601" s="1381"/>
      <c r="EW601" s="1379" t="str">
        <f t="shared" si="22"/>
        <v/>
      </c>
      <c r="EX601" s="1380"/>
      <c r="EY601" s="1380"/>
      <c r="EZ601" s="1380"/>
      <c r="FA601" s="1381"/>
    </row>
    <row r="602" spans="1:157" ht="12.95" customHeight="1">
      <c r="A602" s="22"/>
      <c r="B602" t="s">
        <v>85</v>
      </c>
      <c r="G602" s="1360"/>
      <c r="H602" s="1360"/>
      <c r="I602" s="1360"/>
      <c r="J602" s="1360"/>
      <c r="K602" s="1360"/>
      <c r="L602" s="1360"/>
      <c r="M602" s="1360"/>
      <c r="N602" s="1360"/>
      <c r="O602" s="1360"/>
      <c r="P602" s="1360"/>
      <c r="Q602" s="1360"/>
      <c r="R602" s="1360"/>
      <c r="T602" s="22"/>
      <c r="U602" t="s">
        <v>85</v>
      </c>
      <c r="Z602" s="1360"/>
      <c r="AA602" s="1360"/>
      <c r="AB602" s="1360"/>
      <c r="AC602" s="1360"/>
      <c r="AD602" s="1360"/>
      <c r="AE602" s="1360"/>
      <c r="AF602" s="1360"/>
      <c r="AG602" s="1360"/>
      <c r="AH602" s="1360"/>
      <c r="AI602" s="1360"/>
      <c r="AJ602" s="1360"/>
      <c r="AK602" s="1360"/>
      <c r="AZ602" s="3"/>
      <c r="BA602" s="3"/>
      <c r="BB602" s="3"/>
      <c r="BC602" s="3"/>
      <c r="BD602" s="3"/>
      <c r="BE602" s="1379">
        <f t="shared" si="1"/>
        <v>1</v>
      </c>
      <c r="BF602" s="1381"/>
      <c r="BG602" s="1504">
        <f t="shared" si="2"/>
        <v>3</v>
      </c>
      <c r="BH602" s="1505"/>
      <c r="BI602" s="1379">
        <f t="shared" si="3"/>
        <v>0</v>
      </c>
      <c r="BJ602" s="1381"/>
      <c r="BK602" s="1504">
        <f t="shared" si="4"/>
        <v>0</v>
      </c>
      <c r="BL602" s="1505"/>
      <c r="BM602" s="3"/>
      <c r="BN602" s="1385">
        <f t="shared" si="5"/>
        <v>0</v>
      </c>
      <c r="BO602" s="1386"/>
      <c r="BP602" s="1386"/>
      <c r="BQ602" s="1386"/>
      <c r="BR602" s="1387"/>
      <c r="BS602" s="1384">
        <f t="shared" si="6"/>
        <v>0</v>
      </c>
      <c r="BT602" s="1384"/>
      <c r="BU602" s="1384"/>
      <c r="BV602" s="1384"/>
      <c r="BW602" s="1384"/>
      <c r="BX602" s="1384">
        <f t="shared" si="7"/>
        <v>3</v>
      </c>
      <c r="BY602" s="1384"/>
      <c r="BZ602" s="1384"/>
      <c r="CA602" s="1384"/>
      <c r="CB602" s="1384"/>
      <c r="CC602" s="1384">
        <f t="shared" si="8"/>
        <v>0</v>
      </c>
      <c r="CD602" s="1384"/>
      <c r="CE602" s="1384"/>
      <c r="CF602" s="1384"/>
      <c r="CG602" s="1384"/>
      <c r="CH602" s="1384">
        <f t="shared" si="9"/>
        <v>0</v>
      </c>
      <c r="CI602" s="1384"/>
      <c r="CJ602" s="1384"/>
      <c r="CK602" s="1384"/>
      <c r="CL602" s="1384"/>
      <c r="CM602" s="1384">
        <f t="shared" si="10"/>
        <v>0</v>
      </c>
      <c r="CN602" s="1384"/>
      <c r="CO602" s="1384"/>
      <c r="CP602" s="1384"/>
      <c r="CQ602" s="1384"/>
      <c r="CR602" s="6"/>
      <c r="CS602" s="1383">
        <f t="shared" si="11"/>
        <v>0</v>
      </c>
      <c r="CT602" s="1383"/>
      <c r="CU602" s="1383"/>
      <c r="CV602" s="1383"/>
      <c r="CW602" s="1383"/>
      <c r="CX602" s="1383">
        <f t="shared" si="12"/>
        <v>0</v>
      </c>
      <c r="CY602" s="1383"/>
      <c r="CZ602" s="1383"/>
      <c r="DA602" s="1383"/>
      <c r="DB602" s="1383"/>
      <c r="DC602" s="1383">
        <f t="shared" si="13"/>
        <v>0</v>
      </c>
      <c r="DD602" s="1383"/>
      <c r="DE602" s="1383"/>
      <c r="DF602" s="1383"/>
      <c r="DG602" s="1383"/>
      <c r="DH602" s="1383">
        <f t="shared" si="14"/>
        <v>0</v>
      </c>
      <c r="DI602" s="1383"/>
      <c r="DJ602" s="1383"/>
      <c r="DK602" s="1383"/>
      <c r="DL602" s="1383"/>
      <c r="DM602" s="1383">
        <f t="shared" si="15"/>
        <v>0</v>
      </c>
      <c r="DN602" s="1383"/>
      <c r="DO602" s="1383"/>
      <c r="DP602" s="1383"/>
      <c r="DQ602" s="1383"/>
      <c r="DR602" s="1383">
        <f t="shared" si="16"/>
        <v>0</v>
      </c>
      <c r="DS602" s="1383"/>
      <c r="DT602" s="1383"/>
      <c r="DU602" s="1383"/>
      <c r="DV602" s="1383"/>
      <c r="DX602" s="1379" t="str">
        <f t="shared" si="17"/>
        <v/>
      </c>
      <c r="DY602" s="1380"/>
      <c r="DZ602" s="1380"/>
      <c r="EA602" s="1380"/>
      <c r="EB602" s="1381"/>
      <c r="EC602" s="1379" t="str">
        <f t="shared" si="18"/>
        <v/>
      </c>
      <c r="ED602" s="1380"/>
      <c r="EE602" s="1380"/>
      <c r="EF602" s="1380"/>
      <c r="EG602" s="1381"/>
      <c r="EH602" s="1379">
        <f t="shared" si="19"/>
        <v>1320</v>
      </c>
      <c r="EI602" s="1380"/>
      <c r="EJ602" s="1380"/>
      <c r="EK602" s="1380"/>
      <c r="EL602" s="1381"/>
      <c r="EM602" s="1379" t="str">
        <f t="shared" si="20"/>
        <v/>
      </c>
      <c r="EN602" s="1380"/>
      <c r="EO602" s="1380"/>
      <c r="EP602" s="1380"/>
      <c r="EQ602" s="1381"/>
      <c r="ER602" s="1379" t="str">
        <f t="shared" si="21"/>
        <v/>
      </c>
      <c r="ES602" s="1380"/>
      <c r="ET602" s="1380"/>
      <c r="EU602" s="1380"/>
      <c r="EV602" s="1381"/>
      <c r="EW602" s="1379" t="str">
        <f t="shared" si="22"/>
        <v/>
      </c>
      <c r="EX602" s="1380"/>
      <c r="EY602" s="1380"/>
      <c r="EZ602" s="1380"/>
      <c r="FA602" s="1381"/>
    </row>
    <row r="603" spans="1:157" ht="12.95" customHeight="1">
      <c r="A603" s="22"/>
      <c r="B603" t="s">
        <v>588</v>
      </c>
      <c r="G603" s="1360"/>
      <c r="H603" s="1360"/>
      <c r="I603" s="1360"/>
      <c r="J603" s="1360"/>
      <c r="K603" s="1360"/>
      <c r="L603" s="1360"/>
      <c r="M603" s="1360"/>
      <c r="N603" s="1360"/>
      <c r="O603" s="1360"/>
      <c r="P603" s="1360"/>
      <c r="Q603" s="1360"/>
      <c r="R603" s="1360"/>
      <c r="T603" s="22"/>
      <c r="U603" t="s">
        <v>588</v>
      </c>
      <c r="Z603" s="1362"/>
      <c r="AA603" s="1362"/>
      <c r="AB603" s="1362"/>
      <c r="AC603" s="1362"/>
      <c r="AD603" s="1362"/>
      <c r="AE603" s="1362"/>
      <c r="AF603" s="1362"/>
      <c r="AG603" s="1362"/>
      <c r="AH603" s="1362"/>
      <c r="AI603" s="1362"/>
      <c r="AJ603" s="1362"/>
      <c r="AK603" s="1362"/>
      <c r="AZ603" s="3"/>
      <c r="BA603" s="3"/>
      <c r="BB603" s="3"/>
      <c r="BC603" s="3"/>
      <c r="BD603" s="3"/>
      <c r="BE603" s="1379">
        <f t="shared" si="1"/>
        <v>0</v>
      </c>
      <c r="BF603" s="1381"/>
      <c r="BG603" s="1504">
        <f t="shared" si="2"/>
        <v>0</v>
      </c>
      <c r="BH603" s="1505"/>
      <c r="BI603" s="1379">
        <f t="shared" si="3"/>
        <v>0</v>
      </c>
      <c r="BJ603" s="1381"/>
      <c r="BK603" s="1504">
        <f t="shared" si="4"/>
        <v>0</v>
      </c>
      <c r="BL603" s="1505"/>
      <c r="BM603" s="3"/>
      <c r="BN603" s="1385">
        <f t="shared" si="5"/>
        <v>0</v>
      </c>
      <c r="BO603" s="1386"/>
      <c r="BP603" s="1386"/>
      <c r="BQ603" s="1386"/>
      <c r="BR603" s="1387"/>
      <c r="BS603" s="1384">
        <f t="shared" si="6"/>
        <v>0</v>
      </c>
      <c r="BT603" s="1384"/>
      <c r="BU603" s="1384"/>
      <c r="BV603" s="1384"/>
      <c r="BW603" s="1384"/>
      <c r="BX603" s="1384">
        <f t="shared" si="7"/>
        <v>25</v>
      </c>
      <c r="BY603" s="1384"/>
      <c r="BZ603" s="1384"/>
      <c r="CA603" s="1384"/>
      <c r="CB603" s="1384"/>
      <c r="CC603" s="1384">
        <f t="shared" si="8"/>
        <v>0</v>
      </c>
      <c r="CD603" s="1384"/>
      <c r="CE603" s="1384"/>
      <c r="CF603" s="1384"/>
      <c r="CG603" s="1384"/>
      <c r="CH603" s="1384">
        <f t="shared" si="9"/>
        <v>0</v>
      </c>
      <c r="CI603" s="1384"/>
      <c r="CJ603" s="1384"/>
      <c r="CK603" s="1384"/>
      <c r="CL603" s="1384"/>
      <c r="CM603" s="1384">
        <f t="shared" si="10"/>
        <v>0</v>
      </c>
      <c r="CN603" s="1384"/>
      <c r="CO603" s="1384"/>
      <c r="CP603" s="1384"/>
      <c r="CQ603" s="1384"/>
      <c r="CR603" s="6"/>
      <c r="CS603" s="1383">
        <f t="shared" si="11"/>
        <v>0</v>
      </c>
      <c r="CT603" s="1383"/>
      <c r="CU603" s="1383"/>
      <c r="CV603" s="1383"/>
      <c r="CW603" s="1383"/>
      <c r="CX603" s="1383">
        <f t="shared" si="12"/>
        <v>0</v>
      </c>
      <c r="CY603" s="1383"/>
      <c r="CZ603" s="1383"/>
      <c r="DA603" s="1383"/>
      <c r="DB603" s="1383"/>
      <c r="DC603" s="1383">
        <f t="shared" si="13"/>
        <v>0</v>
      </c>
      <c r="DD603" s="1383"/>
      <c r="DE603" s="1383"/>
      <c r="DF603" s="1383"/>
      <c r="DG603" s="1383"/>
      <c r="DH603" s="1383">
        <f t="shared" si="14"/>
        <v>0</v>
      </c>
      <c r="DI603" s="1383"/>
      <c r="DJ603" s="1383"/>
      <c r="DK603" s="1383"/>
      <c r="DL603" s="1383"/>
      <c r="DM603" s="1383">
        <f t="shared" si="15"/>
        <v>0</v>
      </c>
      <c r="DN603" s="1383"/>
      <c r="DO603" s="1383"/>
      <c r="DP603" s="1383"/>
      <c r="DQ603" s="1383"/>
      <c r="DR603" s="1383">
        <f t="shared" si="16"/>
        <v>0</v>
      </c>
      <c r="DS603" s="1383"/>
      <c r="DT603" s="1383"/>
      <c r="DU603" s="1383"/>
      <c r="DV603" s="1383"/>
      <c r="DX603" s="1379" t="str">
        <f t="shared" si="17"/>
        <v/>
      </c>
      <c r="DY603" s="1380"/>
      <c r="DZ603" s="1380"/>
      <c r="EA603" s="1380"/>
      <c r="EB603" s="1381"/>
      <c r="EC603" s="1379" t="str">
        <f t="shared" si="18"/>
        <v/>
      </c>
      <c r="ED603" s="1380"/>
      <c r="EE603" s="1380"/>
      <c r="EF603" s="1380"/>
      <c r="EG603" s="1381"/>
      <c r="EH603" s="1379">
        <f t="shared" si="19"/>
        <v>1604</v>
      </c>
      <c r="EI603" s="1380"/>
      <c r="EJ603" s="1380"/>
      <c r="EK603" s="1380"/>
      <c r="EL603" s="1381"/>
      <c r="EM603" s="1379" t="str">
        <f t="shared" si="20"/>
        <v/>
      </c>
      <c r="EN603" s="1380"/>
      <c r="EO603" s="1380"/>
      <c r="EP603" s="1380"/>
      <c r="EQ603" s="1381"/>
      <c r="ER603" s="1379" t="str">
        <f t="shared" si="21"/>
        <v/>
      </c>
      <c r="ES603" s="1380"/>
      <c r="ET603" s="1380"/>
      <c r="EU603" s="1380"/>
      <c r="EV603" s="1381"/>
      <c r="EW603" s="1379" t="str">
        <f t="shared" si="22"/>
        <v/>
      </c>
      <c r="EX603" s="1380"/>
      <c r="EY603" s="1380"/>
      <c r="EZ603" s="1380"/>
      <c r="FA603" s="1381"/>
    </row>
    <row r="604" spans="1:157" ht="12.95" customHeight="1">
      <c r="A604" s="22"/>
      <c r="B604" t="s">
        <v>17</v>
      </c>
      <c r="G604" s="1360"/>
      <c r="H604" s="1360"/>
      <c r="I604" s="1360"/>
      <c r="J604" s="1360"/>
      <c r="K604" s="1360"/>
      <c r="L604" s="1360"/>
      <c r="M604" s="1360"/>
      <c r="N604" s="1360"/>
      <c r="O604" s="1360"/>
      <c r="P604" s="1360"/>
      <c r="Q604" s="1360"/>
      <c r="R604" s="1360"/>
      <c r="T604" s="22"/>
      <c r="U604" t="s">
        <v>17</v>
      </c>
      <c r="Z604" s="1362"/>
      <c r="AA604" s="1362"/>
      <c r="AB604" s="1362"/>
      <c r="AC604" s="1362"/>
      <c r="AD604" s="1362"/>
      <c r="AE604" s="1362"/>
      <c r="AF604" s="1362"/>
      <c r="AG604" s="1362"/>
      <c r="AH604" s="1362"/>
      <c r="AI604" s="1362"/>
      <c r="AJ604" s="1362"/>
      <c r="AK604" s="1362"/>
      <c r="AZ604" s="3"/>
      <c r="BA604" s="3"/>
      <c r="BB604" s="3"/>
      <c r="BC604" s="3"/>
      <c r="BD604" s="3"/>
      <c r="BE604" s="1379">
        <f t="shared" si="1"/>
        <v>0</v>
      </c>
      <c r="BF604" s="1381"/>
      <c r="BG604" s="1504">
        <f t="shared" si="2"/>
        <v>0</v>
      </c>
      <c r="BH604" s="1505"/>
      <c r="BI604" s="1379">
        <f t="shared" si="3"/>
        <v>0</v>
      </c>
      <c r="BJ604" s="1381"/>
      <c r="BK604" s="1504">
        <f t="shared" si="4"/>
        <v>0</v>
      </c>
      <c r="BL604" s="1505"/>
      <c r="BM604" s="3"/>
      <c r="BN604" s="1385">
        <f t="shared" si="5"/>
        <v>0</v>
      </c>
      <c r="BO604" s="1386"/>
      <c r="BP604" s="1386"/>
      <c r="BQ604" s="1386"/>
      <c r="BR604" s="1387"/>
      <c r="BS604" s="1384">
        <f t="shared" si="6"/>
        <v>0</v>
      </c>
      <c r="BT604" s="1384"/>
      <c r="BU604" s="1384"/>
      <c r="BV604" s="1384"/>
      <c r="BW604" s="1384"/>
      <c r="BX604" s="1384">
        <f t="shared" si="7"/>
        <v>4</v>
      </c>
      <c r="BY604" s="1384"/>
      <c r="BZ604" s="1384"/>
      <c r="CA604" s="1384"/>
      <c r="CB604" s="1384"/>
      <c r="CC604" s="1384">
        <f t="shared" si="8"/>
        <v>0</v>
      </c>
      <c r="CD604" s="1384"/>
      <c r="CE604" s="1384"/>
      <c r="CF604" s="1384"/>
      <c r="CG604" s="1384"/>
      <c r="CH604" s="1384">
        <f t="shared" si="9"/>
        <v>0</v>
      </c>
      <c r="CI604" s="1384"/>
      <c r="CJ604" s="1384"/>
      <c r="CK604" s="1384"/>
      <c r="CL604" s="1384"/>
      <c r="CM604" s="1384">
        <f t="shared" si="10"/>
        <v>0</v>
      </c>
      <c r="CN604" s="1384"/>
      <c r="CO604" s="1384"/>
      <c r="CP604" s="1384"/>
      <c r="CQ604" s="1384"/>
      <c r="CR604" s="6"/>
      <c r="CS604" s="1383">
        <f t="shared" si="11"/>
        <v>0</v>
      </c>
      <c r="CT604" s="1383"/>
      <c r="CU604" s="1383"/>
      <c r="CV604" s="1383"/>
      <c r="CW604" s="1383"/>
      <c r="CX604" s="1383">
        <f t="shared" si="12"/>
        <v>0</v>
      </c>
      <c r="CY604" s="1383"/>
      <c r="CZ604" s="1383"/>
      <c r="DA604" s="1383"/>
      <c r="DB604" s="1383"/>
      <c r="DC604" s="1383">
        <f t="shared" si="13"/>
        <v>0</v>
      </c>
      <c r="DD604" s="1383"/>
      <c r="DE604" s="1383"/>
      <c r="DF604" s="1383"/>
      <c r="DG604" s="1383"/>
      <c r="DH604" s="1383">
        <f t="shared" si="14"/>
        <v>0</v>
      </c>
      <c r="DI604" s="1383"/>
      <c r="DJ604" s="1383"/>
      <c r="DK604" s="1383"/>
      <c r="DL604" s="1383"/>
      <c r="DM604" s="1383">
        <f t="shared" si="15"/>
        <v>0</v>
      </c>
      <c r="DN604" s="1383"/>
      <c r="DO604" s="1383"/>
      <c r="DP604" s="1383"/>
      <c r="DQ604" s="1383"/>
      <c r="DR604" s="1383">
        <f t="shared" si="16"/>
        <v>0</v>
      </c>
      <c r="DS604" s="1383"/>
      <c r="DT604" s="1383"/>
      <c r="DU604" s="1383"/>
      <c r="DV604" s="1383"/>
      <c r="DX604" s="1379" t="str">
        <f t="shared" si="17"/>
        <v/>
      </c>
      <c r="DY604" s="1380"/>
      <c r="DZ604" s="1380"/>
      <c r="EA604" s="1380"/>
      <c r="EB604" s="1381"/>
      <c r="EC604" s="1379" t="str">
        <f t="shared" si="18"/>
        <v/>
      </c>
      <c r="ED604" s="1380"/>
      <c r="EE604" s="1380"/>
      <c r="EF604" s="1380"/>
      <c r="EG604" s="1381"/>
      <c r="EH604" s="1379">
        <f t="shared" si="19"/>
        <v>1888</v>
      </c>
      <c r="EI604" s="1380"/>
      <c r="EJ604" s="1380"/>
      <c r="EK604" s="1380"/>
      <c r="EL604" s="1381"/>
      <c r="EM604" s="1379" t="str">
        <f t="shared" si="20"/>
        <v/>
      </c>
      <c r="EN604" s="1380"/>
      <c r="EO604" s="1380"/>
      <c r="EP604" s="1380"/>
      <c r="EQ604" s="1381"/>
      <c r="ER604" s="1379" t="str">
        <f t="shared" si="21"/>
        <v/>
      </c>
      <c r="ES604" s="1380"/>
      <c r="ET604" s="1380"/>
      <c r="EU604" s="1380"/>
      <c r="EV604" s="1381"/>
      <c r="EW604" s="1379" t="str">
        <f t="shared" si="22"/>
        <v/>
      </c>
      <c r="EX604" s="1380"/>
      <c r="EY604" s="1380"/>
      <c r="EZ604" s="1380"/>
      <c r="FA604" s="1381"/>
    </row>
    <row r="605" spans="1:157" s="4" customFormat="1" ht="12.95" customHeight="1">
      <c r="A605" s="22"/>
      <c r="B605" t="s">
        <v>316</v>
      </c>
      <c r="C605"/>
      <c r="D605"/>
      <c r="E605"/>
      <c r="F605"/>
      <c r="G605" s="1378"/>
      <c r="H605" s="1378"/>
      <c r="I605" s="1378"/>
      <c r="J605" s="1378"/>
      <c r="K605" s="1378"/>
      <c r="L605" s="1378"/>
      <c r="M605"/>
      <c r="N605"/>
      <c r="O605" s="33" t="s">
        <v>206</v>
      </c>
      <c r="P605" s="1367"/>
      <c r="Q605" s="1367"/>
      <c r="R605" s="1367"/>
      <c r="S605"/>
      <c r="T605" s="22"/>
      <c r="U605" t="s">
        <v>316</v>
      </c>
      <c r="V605"/>
      <c r="W605"/>
      <c r="X605"/>
      <c r="Y605"/>
      <c r="Z605" s="1378"/>
      <c r="AA605" s="1378"/>
      <c r="AB605" s="1378"/>
      <c r="AC605" s="1378"/>
      <c r="AD605" s="1378"/>
      <c r="AE605" s="1378"/>
      <c r="AF605"/>
      <c r="AG605"/>
      <c r="AH605" s="33" t="s">
        <v>206</v>
      </c>
      <c r="AI605" s="1367"/>
      <c r="AJ605" s="1367"/>
      <c r="AK605" s="1367"/>
      <c r="AL605"/>
      <c r="AM605"/>
      <c r="AN605"/>
      <c r="AO605"/>
      <c r="AP605"/>
      <c r="AQ605"/>
      <c r="AR605"/>
      <c r="AS605"/>
      <c r="AT605"/>
      <c r="AU605"/>
      <c r="AV605"/>
      <c r="AW605"/>
      <c r="AX605"/>
      <c r="AY605"/>
      <c r="AZ605" s="3"/>
      <c r="BA605" s="3"/>
      <c r="BB605" s="3"/>
      <c r="BC605" s="3"/>
      <c r="BD605" s="3"/>
      <c r="BE605" s="1379">
        <f t="shared" si="1"/>
        <v>0</v>
      </c>
      <c r="BF605" s="1381"/>
      <c r="BG605" s="1504">
        <f t="shared" si="2"/>
        <v>0</v>
      </c>
      <c r="BH605" s="1505"/>
      <c r="BI605" s="1379">
        <f t="shared" si="3"/>
        <v>1</v>
      </c>
      <c r="BJ605" s="1381"/>
      <c r="BK605" s="1504">
        <f t="shared" si="4"/>
        <v>10</v>
      </c>
      <c r="BL605" s="1505"/>
      <c r="BM605" s="3"/>
      <c r="BN605" s="1385">
        <f t="shared" si="5"/>
        <v>0</v>
      </c>
      <c r="BO605" s="1386"/>
      <c r="BP605" s="1386"/>
      <c r="BQ605" s="1386"/>
      <c r="BR605" s="1387"/>
      <c r="BS605" s="1384">
        <f t="shared" si="6"/>
        <v>0</v>
      </c>
      <c r="BT605" s="1384"/>
      <c r="BU605" s="1384"/>
      <c r="BV605" s="1384"/>
      <c r="BW605" s="1384"/>
      <c r="BX605" s="1384">
        <f t="shared" si="7"/>
        <v>0</v>
      </c>
      <c r="BY605" s="1384"/>
      <c r="BZ605" s="1384"/>
      <c r="CA605" s="1384"/>
      <c r="CB605" s="1384"/>
      <c r="CC605" s="1384">
        <f t="shared" si="8"/>
        <v>10</v>
      </c>
      <c r="CD605" s="1384"/>
      <c r="CE605" s="1384"/>
      <c r="CF605" s="1384"/>
      <c r="CG605" s="1384"/>
      <c r="CH605" s="1384">
        <f t="shared" si="9"/>
        <v>0</v>
      </c>
      <c r="CI605" s="1384"/>
      <c r="CJ605" s="1384"/>
      <c r="CK605" s="1384"/>
      <c r="CL605" s="1384"/>
      <c r="CM605" s="1384">
        <f t="shared" si="10"/>
        <v>0</v>
      </c>
      <c r="CN605" s="1384"/>
      <c r="CO605" s="1384"/>
      <c r="CP605" s="1384"/>
      <c r="CQ605" s="1384"/>
      <c r="CR605" s="6"/>
      <c r="CS605" s="1383">
        <f t="shared" si="11"/>
        <v>0</v>
      </c>
      <c r="CT605" s="1383"/>
      <c r="CU605" s="1383"/>
      <c r="CV605" s="1383"/>
      <c r="CW605" s="1383"/>
      <c r="CX605" s="1383">
        <f t="shared" si="12"/>
        <v>0</v>
      </c>
      <c r="CY605" s="1383"/>
      <c r="CZ605" s="1383"/>
      <c r="DA605" s="1383"/>
      <c r="DB605" s="1383"/>
      <c r="DC605" s="1383">
        <f t="shared" si="13"/>
        <v>0</v>
      </c>
      <c r="DD605" s="1383"/>
      <c r="DE605" s="1383"/>
      <c r="DF605" s="1383"/>
      <c r="DG605" s="1383"/>
      <c r="DH605" s="1383">
        <f t="shared" si="14"/>
        <v>10</v>
      </c>
      <c r="DI605" s="1383"/>
      <c r="DJ605" s="1383"/>
      <c r="DK605" s="1383"/>
      <c r="DL605" s="1383"/>
      <c r="DM605" s="1383">
        <f t="shared" si="15"/>
        <v>0</v>
      </c>
      <c r="DN605" s="1383"/>
      <c r="DO605" s="1383"/>
      <c r="DP605" s="1383"/>
      <c r="DQ605" s="1383"/>
      <c r="DR605" s="1383">
        <f t="shared" si="16"/>
        <v>0</v>
      </c>
      <c r="DS605" s="1383"/>
      <c r="DT605" s="1383"/>
      <c r="DU605" s="1383"/>
      <c r="DV605" s="1383"/>
      <c r="DX605" s="1379" t="str">
        <f t="shared" si="17"/>
        <v/>
      </c>
      <c r="DY605" s="1380"/>
      <c r="DZ605" s="1380"/>
      <c r="EA605" s="1380"/>
      <c r="EB605" s="1381"/>
      <c r="EC605" s="1379" t="str">
        <f t="shared" si="18"/>
        <v/>
      </c>
      <c r="ED605" s="1380"/>
      <c r="EE605" s="1380"/>
      <c r="EF605" s="1380"/>
      <c r="EG605" s="1381"/>
      <c r="EH605" s="1379" t="str">
        <f t="shared" si="19"/>
        <v/>
      </c>
      <c r="EI605" s="1380"/>
      <c r="EJ605" s="1380"/>
      <c r="EK605" s="1380"/>
      <c r="EL605" s="1381"/>
      <c r="EM605" s="1379">
        <f t="shared" si="20"/>
        <v>862</v>
      </c>
      <c r="EN605" s="1380"/>
      <c r="EO605" s="1380"/>
      <c r="EP605" s="1380"/>
      <c r="EQ605" s="1381"/>
      <c r="ER605" s="1379" t="str">
        <f t="shared" si="21"/>
        <v/>
      </c>
      <c r="ES605" s="1380"/>
      <c r="ET605" s="1380"/>
      <c r="EU605" s="1380"/>
      <c r="EV605" s="1381"/>
      <c r="EW605" s="1379" t="str">
        <f t="shared" si="22"/>
        <v/>
      </c>
      <c r="EX605" s="1380"/>
      <c r="EY605" s="1380"/>
      <c r="EZ605" s="1380"/>
      <c r="FA605" s="1381"/>
    </row>
    <row r="606" spans="1:157" s="4" customFormat="1" ht="12.95" customHeight="1">
      <c r="A606" s="22"/>
      <c r="B606" t="s">
        <v>18</v>
      </c>
      <c r="C606"/>
      <c r="D606"/>
      <c r="E606"/>
      <c r="F606"/>
      <c r="G606"/>
      <c r="H606" s="1360"/>
      <c r="I606" s="1360"/>
      <c r="J606" s="1360"/>
      <c r="K606" s="1360"/>
      <c r="L606" s="1360"/>
      <c r="M606" s="1360"/>
      <c r="N606" s="1360"/>
      <c r="O606" s="1360"/>
      <c r="P606" s="1360"/>
      <c r="Q606" s="1360"/>
      <c r="R606" s="1360"/>
      <c r="S606"/>
      <c r="T606" s="22"/>
      <c r="U606" t="s">
        <v>18</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c r="BD606" s="3"/>
      <c r="BE606" s="1379">
        <f t="shared" si="1"/>
        <v>1</v>
      </c>
      <c r="BF606" s="1381"/>
      <c r="BG606" s="1504">
        <f t="shared" si="2"/>
        <v>3</v>
      </c>
      <c r="BH606" s="1505"/>
      <c r="BI606" s="1379">
        <f t="shared" si="3"/>
        <v>0</v>
      </c>
      <c r="BJ606" s="1381"/>
      <c r="BK606" s="1504">
        <f t="shared" si="4"/>
        <v>0</v>
      </c>
      <c r="BL606" s="1505"/>
      <c r="BM606" s="3"/>
      <c r="BN606" s="1385">
        <f t="shared" si="5"/>
        <v>0</v>
      </c>
      <c r="BO606" s="1386"/>
      <c r="BP606" s="1386"/>
      <c r="BQ606" s="1386"/>
      <c r="BR606" s="1387"/>
      <c r="BS606" s="1384">
        <f t="shared" si="6"/>
        <v>0</v>
      </c>
      <c r="BT606" s="1384"/>
      <c r="BU606" s="1384"/>
      <c r="BV606" s="1384"/>
      <c r="BW606" s="1384"/>
      <c r="BX606" s="1384">
        <f t="shared" si="7"/>
        <v>0</v>
      </c>
      <c r="BY606" s="1384"/>
      <c r="BZ606" s="1384"/>
      <c r="CA606" s="1384"/>
      <c r="CB606" s="1384"/>
      <c r="CC606" s="1384">
        <f t="shared" si="8"/>
        <v>3</v>
      </c>
      <c r="CD606" s="1384"/>
      <c r="CE606" s="1384"/>
      <c r="CF606" s="1384"/>
      <c r="CG606" s="1384"/>
      <c r="CH606" s="1384">
        <f t="shared" si="9"/>
        <v>0</v>
      </c>
      <c r="CI606" s="1384"/>
      <c r="CJ606" s="1384"/>
      <c r="CK606" s="1384"/>
      <c r="CL606" s="1384"/>
      <c r="CM606" s="1384">
        <f t="shared" si="10"/>
        <v>0</v>
      </c>
      <c r="CN606" s="1384"/>
      <c r="CO606" s="1384"/>
      <c r="CP606" s="1384"/>
      <c r="CQ606" s="1384"/>
      <c r="CR606" s="6"/>
      <c r="CS606" s="1383">
        <f t="shared" si="11"/>
        <v>0</v>
      </c>
      <c r="CT606" s="1383"/>
      <c r="CU606" s="1383"/>
      <c r="CV606" s="1383"/>
      <c r="CW606" s="1383"/>
      <c r="CX606" s="1383">
        <f t="shared" si="12"/>
        <v>0</v>
      </c>
      <c r="CY606" s="1383"/>
      <c r="CZ606" s="1383"/>
      <c r="DA606" s="1383"/>
      <c r="DB606" s="1383"/>
      <c r="DC606" s="1383">
        <f t="shared" si="13"/>
        <v>0</v>
      </c>
      <c r="DD606" s="1383"/>
      <c r="DE606" s="1383"/>
      <c r="DF606" s="1383"/>
      <c r="DG606" s="1383"/>
      <c r="DH606" s="1383">
        <f t="shared" si="14"/>
        <v>0</v>
      </c>
      <c r="DI606" s="1383"/>
      <c r="DJ606" s="1383"/>
      <c r="DK606" s="1383"/>
      <c r="DL606" s="1383"/>
      <c r="DM606" s="1383">
        <f t="shared" si="15"/>
        <v>0</v>
      </c>
      <c r="DN606" s="1383"/>
      <c r="DO606" s="1383"/>
      <c r="DP606" s="1383"/>
      <c r="DQ606" s="1383"/>
      <c r="DR606" s="1383">
        <f t="shared" si="16"/>
        <v>0</v>
      </c>
      <c r="DS606" s="1383"/>
      <c r="DT606" s="1383"/>
      <c r="DU606" s="1383"/>
      <c r="DV606" s="1383"/>
      <c r="DX606" s="1379" t="str">
        <f t="shared" si="17"/>
        <v/>
      </c>
      <c r="DY606" s="1380"/>
      <c r="DZ606" s="1380"/>
      <c r="EA606" s="1380"/>
      <c r="EB606" s="1381"/>
      <c r="EC606" s="1379" t="str">
        <f t="shared" si="18"/>
        <v/>
      </c>
      <c r="ED606" s="1380"/>
      <c r="EE606" s="1380"/>
      <c r="EF606" s="1380"/>
      <c r="EG606" s="1381"/>
      <c r="EH606" s="1379" t="str">
        <f t="shared" si="19"/>
        <v/>
      </c>
      <c r="EI606" s="1380"/>
      <c r="EJ606" s="1380"/>
      <c r="EK606" s="1380"/>
      <c r="EL606" s="1381"/>
      <c r="EM606" s="1379">
        <f t="shared" si="20"/>
        <v>1518</v>
      </c>
      <c r="EN606" s="1380"/>
      <c r="EO606" s="1380"/>
      <c r="EP606" s="1380"/>
      <c r="EQ606" s="1381"/>
      <c r="ER606" s="1379" t="str">
        <f t="shared" si="21"/>
        <v/>
      </c>
      <c r="ES606" s="1380"/>
      <c r="ET606" s="1380"/>
      <c r="EU606" s="1380"/>
      <c r="EV606" s="1381"/>
      <c r="EW606" s="1379" t="str">
        <f t="shared" si="22"/>
        <v/>
      </c>
      <c r="EX606" s="1380"/>
      <c r="EY606" s="1380"/>
      <c r="EZ606" s="1380"/>
      <c r="FA606" s="1381"/>
    </row>
    <row r="607" spans="1:157" s="4" customFormat="1" ht="12.95" customHeight="1">
      <c r="A607" s="22"/>
      <c r="B607" t="s">
        <v>20</v>
      </c>
      <c r="C607"/>
      <c r="D607"/>
      <c r="E607"/>
      <c r="F607"/>
      <c r="G607"/>
      <c r="H607"/>
      <c r="I607"/>
      <c r="J607"/>
      <c r="K607"/>
      <c r="L607"/>
      <c r="M607"/>
      <c r="N607" s="1366" t="s">
        <v>677</v>
      </c>
      <c r="O607" s="1366"/>
      <c r="P607"/>
      <c r="Q607"/>
      <c r="R607"/>
      <c r="S607"/>
      <c r="T607" s="22"/>
      <c r="U607" t="s">
        <v>20</v>
      </c>
      <c r="V607"/>
      <c r="W607"/>
      <c r="X607"/>
      <c r="Y607"/>
      <c r="Z607"/>
      <c r="AA607"/>
      <c r="AB607"/>
      <c r="AC607"/>
      <c r="AD607"/>
      <c r="AE607"/>
      <c r="AF607"/>
      <c r="AG607" s="1366" t="s">
        <v>677</v>
      </c>
      <c r="AH607" s="1366"/>
      <c r="AI607"/>
      <c r="AJ607"/>
      <c r="AK607"/>
      <c r="AL607"/>
      <c r="AM607"/>
      <c r="AN607"/>
      <c r="AO607"/>
      <c r="AP607"/>
      <c r="AQ607"/>
      <c r="AR607"/>
      <c r="AS607"/>
      <c r="AT607"/>
      <c r="AU607"/>
      <c r="AV607"/>
      <c r="AW607"/>
      <c r="AX607"/>
      <c r="AY607"/>
      <c r="AZ607" s="3"/>
      <c r="BA607" s="3"/>
      <c r="BB607" s="3"/>
      <c r="BC607" s="3"/>
      <c r="BD607" s="3"/>
      <c r="BE607" s="1379">
        <f t="shared" si="1"/>
        <v>0</v>
      </c>
      <c r="BF607" s="1381"/>
      <c r="BG607" s="1504">
        <f t="shared" si="2"/>
        <v>0</v>
      </c>
      <c r="BH607" s="1505"/>
      <c r="BI607" s="1379">
        <f t="shared" si="3"/>
        <v>0</v>
      </c>
      <c r="BJ607" s="1381"/>
      <c r="BK607" s="1504">
        <f t="shared" si="4"/>
        <v>0</v>
      </c>
      <c r="BL607" s="1505"/>
      <c r="BM607" s="3"/>
      <c r="BN607" s="1385">
        <f t="shared" si="5"/>
        <v>0</v>
      </c>
      <c r="BO607" s="1386"/>
      <c r="BP607" s="1386"/>
      <c r="BQ607" s="1386"/>
      <c r="BR607" s="1387"/>
      <c r="BS607" s="1384">
        <f t="shared" si="6"/>
        <v>0</v>
      </c>
      <c r="BT607" s="1384"/>
      <c r="BU607" s="1384"/>
      <c r="BV607" s="1384"/>
      <c r="BW607" s="1384"/>
      <c r="BX607" s="1384">
        <f t="shared" si="7"/>
        <v>0</v>
      </c>
      <c r="BY607" s="1384"/>
      <c r="BZ607" s="1384"/>
      <c r="CA607" s="1384"/>
      <c r="CB607" s="1384"/>
      <c r="CC607" s="1384">
        <f t="shared" si="8"/>
        <v>23</v>
      </c>
      <c r="CD607" s="1384"/>
      <c r="CE607" s="1384"/>
      <c r="CF607" s="1384"/>
      <c r="CG607" s="1384"/>
      <c r="CH607" s="1384">
        <f t="shared" si="9"/>
        <v>0</v>
      </c>
      <c r="CI607" s="1384"/>
      <c r="CJ607" s="1384"/>
      <c r="CK607" s="1384"/>
      <c r="CL607" s="1384"/>
      <c r="CM607" s="1384">
        <f t="shared" si="10"/>
        <v>0</v>
      </c>
      <c r="CN607" s="1384"/>
      <c r="CO607" s="1384"/>
      <c r="CP607" s="1384"/>
      <c r="CQ607" s="1384"/>
      <c r="CR607" s="6"/>
      <c r="CS607" s="1383">
        <f t="shared" si="11"/>
        <v>0</v>
      </c>
      <c r="CT607" s="1383"/>
      <c r="CU607" s="1383"/>
      <c r="CV607" s="1383"/>
      <c r="CW607" s="1383"/>
      <c r="CX607" s="1383">
        <f t="shared" si="12"/>
        <v>0</v>
      </c>
      <c r="CY607" s="1383"/>
      <c r="CZ607" s="1383"/>
      <c r="DA607" s="1383"/>
      <c r="DB607" s="1383"/>
      <c r="DC607" s="1383">
        <f t="shared" si="13"/>
        <v>0</v>
      </c>
      <c r="DD607" s="1383"/>
      <c r="DE607" s="1383"/>
      <c r="DF607" s="1383"/>
      <c r="DG607" s="1383"/>
      <c r="DH607" s="1383">
        <f t="shared" si="14"/>
        <v>0</v>
      </c>
      <c r="DI607" s="1383"/>
      <c r="DJ607" s="1383"/>
      <c r="DK607" s="1383"/>
      <c r="DL607" s="1383"/>
      <c r="DM607" s="1383">
        <f t="shared" si="15"/>
        <v>0</v>
      </c>
      <c r="DN607" s="1383"/>
      <c r="DO607" s="1383"/>
      <c r="DP607" s="1383"/>
      <c r="DQ607" s="1383"/>
      <c r="DR607" s="1383">
        <f t="shared" si="16"/>
        <v>0</v>
      </c>
      <c r="DS607" s="1383"/>
      <c r="DT607" s="1383"/>
      <c r="DU607" s="1383"/>
      <c r="DV607" s="1383"/>
      <c r="DX607" s="1379" t="str">
        <f t="shared" si="17"/>
        <v/>
      </c>
      <c r="DY607" s="1380"/>
      <c r="DZ607" s="1380"/>
      <c r="EA607" s="1380"/>
      <c r="EB607" s="1381"/>
      <c r="EC607" s="1379" t="str">
        <f t="shared" si="18"/>
        <v/>
      </c>
      <c r="ED607" s="1380"/>
      <c r="EE607" s="1380"/>
      <c r="EF607" s="1380"/>
      <c r="EG607" s="1381"/>
      <c r="EH607" s="1379" t="str">
        <f t="shared" si="19"/>
        <v/>
      </c>
      <c r="EI607" s="1380"/>
      <c r="EJ607" s="1380"/>
      <c r="EK607" s="1380"/>
      <c r="EL607" s="1381"/>
      <c r="EM607" s="1379">
        <f t="shared" si="20"/>
        <v>1846</v>
      </c>
      <c r="EN607" s="1380"/>
      <c r="EO607" s="1380"/>
      <c r="EP607" s="1380"/>
      <c r="EQ607" s="1381"/>
      <c r="ER607" s="1379" t="str">
        <f t="shared" si="21"/>
        <v/>
      </c>
      <c r="ES607" s="1380"/>
      <c r="ET607" s="1380"/>
      <c r="EU607" s="1380"/>
      <c r="EV607" s="1381"/>
      <c r="EW607" s="1379" t="str">
        <f t="shared" si="22"/>
        <v/>
      </c>
      <c r="EX607" s="1380"/>
      <c r="EY607" s="1380"/>
      <c r="EZ607" s="1380"/>
      <c r="FA607" s="1381"/>
    </row>
    <row r="608" spans="1:157" ht="12.95" customHeight="1">
      <c r="A608" s="22"/>
      <c r="T608" s="22"/>
      <c r="AZ608" s="3"/>
      <c r="BA608" s="3"/>
      <c r="BB608" s="3"/>
      <c r="BC608" s="3"/>
      <c r="BD608" s="3"/>
      <c r="BE608" s="1379">
        <f t="shared" si="1"/>
        <v>0</v>
      </c>
      <c r="BF608" s="1381"/>
      <c r="BG608" s="1504">
        <f t="shared" si="2"/>
        <v>0</v>
      </c>
      <c r="BH608" s="1505"/>
      <c r="BI608" s="1379">
        <f t="shared" si="3"/>
        <v>0</v>
      </c>
      <c r="BJ608" s="1381"/>
      <c r="BK608" s="1504">
        <f t="shared" si="4"/>
        <v>0</v>
      </c>
      <c r="BL608" s="1505"/>
      <c r="BM608" s="3"/>
      <c r="BN608" s="1385">
        <f t="shared" si="5"/>
        <v>0</v>
      </c>
      <c r="BO608" s="1386"/>
      <c r="BP608" s="1386"/>
      <c r="BQ608" s="1386"/>
      <c r="BR608" s="1387"/>
      <c r="BS608" s="1384">
        <f t="shared" si="6"/>
        <v>0</v>
      </c>
      <c r="BT608" s="1384"/>
      <c r="BU608" s="1384"/>
      <c r="BV608" s="1384"/>
      <c r="BW608" s="1384"/>
      <c r="BX608" s="1384">
        <f t="shared" si="7"/>
        <v>0</v>
      </c>
      <c r="BY608" s="1384"/>
      <c r="BZ608" s="1384"/>
      <c r="CA608" s="1384"/>
      <c r="CB608" s="1384"/>
      <c r="CC608" s="1384">
        <f t="shared" si="8"/>
        <v>4</v>
      </c>
      <c r="CD608" s="1384"/>
      <c r="CE608" s="1384"/>
      <c r="CF608" s="1384"/>
      <c r="CG608" s="1384"/>
      <c r="CH608" s="1384">
        <f t="shared" si="9"/>
        <v>0</v>
      </c>
      <c r="CI608" s="1384"/>
      <c r="CJ608" s="1384"/>
      <c r="CK608" s="1384"/>
      <c r="CL608" s="1384"/>
      <c r="CM608" s="1384">
        <f t="shared" si="10"/>
        <v>0</v>
      </c>
      <c r="CN608" s="1384"/>
      <c r="CO608" s="1384"/>
      <c r="CP608" s="1384"/>
      <c r="CQ608" s="1384"/>
      <c r="CR608" s="6"/>
      <c r="CS608" s="1383">
        <f t="shared" si="11"/>
        <v>0</v>
      </c>
      <c r="CT608" s="1383"/>
      <c r="CU608" s="1383"/>
      <c r="CV608" s="1383"/>
      <c r="CW608" s="1383"/>
      <c r="CX608" s="1383">
        <f t="shared" si="12"/>
        <v>0</v>
      </c>
      <c r="CY608" s="1383"/>
      <c r="CZ608" s="1383"/>
      <c r="DA608" s="1383"/>
      <c r="DB608" s="1383"/>
      <c r="DC608" s="1383">
        <f t="shared" si="13"/>
        <v>0</v>
      </c>
      <c r="DD608" s="1383"/>
      <c r="DE608" s="1383"/>
      <c r="DF608" s="1383"/>
      <c r="DG608" s="1383"/>
      <c r="DH608" s="1383">
        <f t="shared" si="14"/>
        <v>0</v>
      </c>
      <c r="DI608" s="1383"/>
      <c r="DJ608" s="1383"/>
      <c r="DK608" s="1383"/>
      <c r="DL608" s="1383"/>
      <c r="DM608" s="1383">
        <f t="shared" si="15"/>
        <v>0</v>
      </c>
      <c r="DN608" s="1383"/>
      <c r="DO608" s="1383"/>
      <c r="DP608" s="1383"/>
      <c r="DQ608" s="1383"/>
      <c r="DR608" s="1383">
        <f t="shared" si="16"/>
        <v>0</v>
      </c>
      <c r="DS608" s="1383"/>
      <c r="DT608" s="1383"/>
      <c r="DU608" s="1383"/>
      <c r="DV608" s="1383"/>
      <c r="DX608" s="1379" t="str">
        <f t="shared" si="17"/>
        <v/>
      </c>
      <c r="DY608" s="1380"/>
      <c r="DZ608" s="1380"/>
      <c r="EA608" s="1380"/>
      <c r="EB608" s="1381"/>
      <c r="EC608" s="1379" t="str">
        <f t="shared" si="18"/>
        <v/>
      </c>
      <c r="ED608" s="1380"/>
      <c r="EE608" s="1380"/>
      <c r="EF608" s="1380"/>
      <c r="EG608" s="1381"/>
      <c r="EH608" s="1379" t="str">
        <f t="shared" si="19"/>
        <v/>
      </c>
      <c r="EI608" s="1380"/>
      <c r="EJ608" s="1380"/>
      <c r="EK608" s="1380"/>
      <c r="EL608" s="1381"/>
      <c r="EM608" s="1379">
        <f t="shared" si="20"/>
        <v>2174</v>
      </c>
      <c r="EN608" s="1380"/>
      <c r="EO608" s="1380"/>
      <c r="EP608" s="1380"/>
      <c r="EQ608" s="1381"/>
      <c r="ER608" s="1379" t="str">
        <f t="shared" si="21"/>
        <v/>
      </c>
      <c r="ES608" s="1380"/>
      <c r="ET608" s="1380"/>
      <c r="EU608" s="1380"/>
      <c r="EV608" s="1381"/>
      <c r="EW608" s="1379" t="str">
        <f t="shared" si="22"/>
        <v/>
      </c>
      <c r="EX608" s="1380"/>
      <c r="EY608" s="1380"/>
      <c r="EZ608" s="1380"/>
      <c r="FA608" s="1381"/>
    </row>
    <row r="609" spans="1:157" ht="12.95" customHeight="1">
      <c r="A609" s="55" t="s">
        <v>362</v>
      </c>
      <c r="B609" t="s">
        <v>471</v>
      </c>
      <c r="G609" s="1371">
        <f>C564</f>
        <v>0</v>
      </c>
      <c r="H609" s="1371"/>
      <c r="I609" s="1371"/>
      <c r="J609" s="1371"/>
      <c r="K609" s="1371"/>
      <c r="L609" s="1371"/>
      <c r="M609" s="1371"/>
      <c r="N609" s="1371"/>
      <c r="O609" s="1371"/>
      <c r="P609" s="1371"/>
      <c r="Q609" s="1371"/>
      <c r="R609" s="1371"/>
      <c r="T609" s="55" t="s">
        <v>363</v>
      </c>
      <c r="U609" t="s">
        <v>471</v>
      </c>
      <c r="Z609" s="1371">
        <f>C565</f>
        <v>0</v>
      </c>
      <c r="AA609" s="1371"/>
      <c r="AB609" s="1371"/>
      <c r="AC609" s="1371"/>
      <c r="AD609" s="1371"/>
      <c r="AE609" s="1371"/>
      <c r="AF609" s="1371"/>
      <c r="AG609" s="1371"/>
      <c r="AH609" s="1371"/>
      <c r="AI609" s="1371"/>
      <c r="AJ609" s="1371"/>
      <c r="AK609" s="1371"/>
      <c r="AZ609" s="3"/>
      <c r="BA609" s="3"/>
      <c r="BB609" s="3"/>
      <c r="BC609" s="3"/>
      <c r="BD609" s="3"/>
      <c r="BE609" s="1379">
        <f t="shared" si="1"/>
        <v>0</v>
      </c>
      <c r="BF609" s="1381"/>
      <c r="BG609" s="1504">
        <f t="shared" si="2"/>
        <v>0</v>
      </c>
      <c r="BH609" s="1505"/>
      <c r="BI609" s="1379">
        <f t="shared" si="3"/>
        <v>0</v>
      </c>
      <c r="BJ609" s="1381"/>
      <c r="BK609" s="1504">
        <f t="shared" si="4"/>
        <v>0</v>
      </c>
      <c r="BL609" s="1505"/>
      <c r="BM609" s="3"/>
      <c r="BN609" s="1385">
        <f t="shared" si="5"/>
        <v>0</v>
      </c>
      <c r="BO609" s="1386"/>
      <c r="BP609" s="1386"/>
      <c r="BQ609" s="1386"/>
      <c r="BR609" s="1387"/>
      <c r="BS609" s="1384">
        <f t="shared" si="6"/>
        <v>0</v>
      </c>
      <c r="BT609" s="1384"/>
      <c r="BU609" s="1384"/>
      <c r="BV609" s="1384"/>
      <c r="BW609" s="1384"/>
      <c r="BX609" s="1384">
        <f t="shared" si="7"/>
        <v>0</v>
      </c>
      <c r="BY609" s="1384"/>
      <c r="BZ609" s="1384"/>
      <c r="CA609" s="1384"/>
      <c r="CB609" s="1384"/>
      <c r="CC609" s="1384">
        <f t="shared" si="8"/>
        <v>0</v>
      </c>
      <c r="CD609" s="1384"/>
      <c r="CE609" s="1384"/>
      <c r="CF609" s="1384"/>
      <c r="CG609" s="1384"/>
      <c r="CH609" s="1384">
        <f t="shared" si="9"/>
        <v>0</v>
      </c>
      <c r="CI609" s="1384"/>
      <c r="CJ609" s="1384"/>
      <c r="CK609" s="1384"/>
      <c r="CL609" s="1384"/>
      <c r="CM609" s="1384">
        <f t="shared" si="10"/>
        <v>0</v>
      </c>
      <c r="CN609" s="1384"/>
      <c r="CO609" s="1384"/>
      <c r="CP609" s="1384"/>
      <c r="CQ609" s="1384"/>
      <c r="CR609" s="6"/>
      <c r="CS609" s="1383">
        <f t="shared" si="11"/>
        <v>0</v>
      </c>
      <c r="CT609" s="1383"/>
      <c r="CU609" s="1383"/>
      <c r="CV609" s="1383"/>
      <c r="CW609" s="1383"/>
      <c r="CX609" s="1383">
        <f t="shared" si="12"/>
        <v>0</v>
      </c>
      <c r="CY609" s="1383"/>
      <c r="CZ609" s="1383"/>
      <c r="DA609" s="1383"/>
      <c r="DB609" s="1383"/>
      <c r="DC609" s="1383">
        <f t="shared" si="13"/>
        <v>0</v>
      </c>
      <c r="DD609" s="1383"/>
      <c r="DE609" s="1383"/>
      <c r="DF609" s="1383"/>
      <c r="DG609" s="1383"/>
      <c r="DH609" s="1383">
        <f t="shared" si="14"/>
        <v>0</v>
      </c>
      <c r="DI609" s="1383"/>
      <c r="DJ609" s="1383"/>
      <c r="DK609" s="1383"/>
      <c r="DL609" s="1383"/>
      <c r="DM609" s="1383">
        <f t="shared" si="15"/>
        <v>0</v>
      </c>
      <c r="DN609" s="1383"/>
      <c r="DO609" s="1383"/>
      <c r="DP609" s="1383"/>
      <c r="DQ609" s="1383"/>
      <c r="DR609" s="1383">
        <f t="shared" si="16"/>
        <v>0</v>
      </c>
      <c r="DS609" s="1383"/>
      <c r="DT609" s="1383"/>
      <c r="DU609" s="1383"/>
      <c r="DV609" s="1383"/>
      <c r="DX609" s="1379" t="str">
        <f t="shared" si="17"/>
        <v/>
      </c>
      <c r="DY609" s="1380"/>
      <c r="DZ609" s="1380"/>
      <c r="EA609" s="1380"/>
      <c r="EB609" s="1381"/>
      <c r="EC609" s="1379" t="str">
        <f t="shared" si="18"/>
        <v/>
      </c>
      <c r="ED609" s="1380"/>
      <c r="EE609" s="1380"/>
      <c r="EF609" s="1380"/>
      <c r="EG609" s="1381"/>
      <c r="EH609" s="1379" t="str">
        <f t="shared" si="19"/>
        <v/>
      </c>
      <c r="EI609" s="1380"/>
      <c r="EJ609" s="1380"/>
      <c r="EK609" s="1380"/>
      <c r="EL609" s="1381"/>
      <c r="EM609" s="1379" t="str">
        <f t="shared" si="20"/>
        <v/>
      </c>
      <c r="EN609" s="1380"/>
      <c r="EO609" s="1380"/>
      <c r="EP609" s="1380"/>
      <c r="EQ609" s="1381"/>
      <c r="ER609" s="1379" t="str">
        <f t="shared" si="21"/>
        <v/>
      </c>
      <c r="ES609" s="1380"/>
      <c r="ET609" s="1380"/>
      <c r="EU609" s="1380"/>
      <c r="EV609" s="1381"/>
      <c r="EW609" s="1379" t="str">
        <f t="shared" si="22"/>
        <v/>
      </c>
      <c r="EX609" s="1380"/>
      <c r="EY609" s="1380"/>
      <c r="EZ609" s="1380"/>
      <c r="FA609" s="1381"/>
    </row>
    <row r="610" spans="1:157" ht="12.95" customHeight="1">
      <c r="B610" t="s">
        <v>85</v>
      </c>
      <c r="G610" s="1360"/>
      <c r="H610" s="1360"/>
      <c r="I610" s="1360"/>
      <c r="J610" s="1360"/>
      <c r="K610" s="1360"/>
      <c r="L610" s="1360"/>
      <c r="M610" s="1360"/>
      <c r="N610" s="1360"/>
      <c r="O610" s="1360"/>
      <c r="P610" s="1360"/>
      <c r="Q610" s="1360"/>
      <c r="R610" s="1360"/>
      <c r="U610" t="s">
        <v>85</v>
      </c>
      <c r="Z610" s="1360"/>
      <c r="AA610" s="1360"/>
      <c r="AB610" s="1360"/>
      <c r="AC610" s="1360"/>
      <c r="AD610" s="1360"/>
      <c r="AE610" s="1360"/>
      <c r="AF610" s="1360"/>
      <c r="AG610" s="1360"/>
      <c r="AH610" s="1360"/>
      <c r="AI610" s="1360"/>
      <c r="AJ610" s="1360"/>
      <c r="AK610" s="1360"/>
      <c r="AZ610" s="3"/>
      <c r="BA610" s="3"/>
      <c r="BB610" s="3"/>
      <c r="BC610" s="3"/>
      <c r="BD610" s="3"/>
      <c r="BE610" s="1379">
        <f t="shared" si="1"/>
        <v>0</v>
      </c>
      <c r="BF610" s="1381"/>
      <c r="BG610" s="1504">
        <f t="shared" si="2"/>
        <v>0</v>
      </c>
      <c r="BH610" s="1505"/>
      <c r="BI610" s="1379">
        <f t="shared" si="3"/>
        <v>0</v>
      </c>
      <c r="BJ610" s="1381"/>
      <c r="BK610" s="1504">
        <f t="shared" si="4"/>
        <v>0</v>
      </c>
      <c r="BL610" s="1505"/>
      <c r="BM610" s="3"/>
      <c r="BN610" s="1385">
        <f t="shared" si="5"/>
        <v>0</v>
      </c>
      <c r="BO610" s="1386"/>
      <c r="BP610" s="1386"/>
      <c r="BQ610" s="1386"/>
      <c r="BR610" s="1387"/>
      <c r="BS610" s="1384">
        <f t="shared" si="6"/>
        <v>0</v>
      </c>
      <c r="BT610" s="1384"/>
      <c r="BU610" s="1384"/>
      <c r="BV610" s="1384"/>
      <c r="BW610" s="1384"/>
      <c r="BX610" s="1384">
        <f t="shared" si="7"/>
        <v>0</v>
      </c>
      <c r="BY610" s="1384"/>
      <c r="BZ610" s="1384"/>
      <c r="CA610" s="1384"/>
      <c r="CB610" s="1384"/>
      <c r="CC610" s="1384">
        <f t="shared" si="8"/>
        <v>0</v>
      </c>
      <c r="CD610" s="1384"/>
      <c r="CE610" s="1384"/>
      <c r="CF610" s="1384"/>
      <c r="CG610" s="1384"/>
      <c r="CH610" s="1384">
        <f t="shared" si="9"/>
        <v>0</v>
      </c>
      <c r="CI610" s="1384"/>
      <c r="CJ610" s="1384"/>
      <c r="CK610" s="1384"/>
      <c r="CL610" s="1384"/>
      <c r="CM610" s="1384">
        <f t="shared" si="10"/>
        <v>0</v>
      </c>
      <c r="CN610" s="1384"/>
      <c r="CO610" s="1384"/>
      <c r="CP610" s="1384"/>
      <c r="CQ610" s="1384"/>
      <c r="CR610" s="6"/>
      <c r="CS610" s="1383">
        <f t="shared" si="11"/>
        <v>0</v>
      </c>
      <c r="CT610" s="1383"/>
      <c r="CU610" s="1383"/>
      <c r="CV610" s="1383"/>
      <c r="CW610" s="1383"/>
      <c r="CX610" s="1383">
        <f t="shared" si="12"/>
        <v>0</v>
      </c>
      <c r="CY610" s="1383"/>
      <c r="CZ610" s="1383"/>
      <c r="DA610" s="1383"/>
      <c r="DB610" s="1383"/>
      <c r="DC610" s="1383">
        <f t="shared" si="13"/>
        <v>0</v>
      </c>
      <c r="DD610" s="1383"/>
      <c r="DE610" s="1383"/>
      <c r="DF610" s="1383"/>
      <c r="DG610" s="1383"/>
      <c r="DH610" s="1383">
        <f t="shared" si="14"/>
        <v>0</v>
      </c>
      <c r="DI610" s="1383"/>
      <c r="DJ610" s="1383"/>
      <c r="DK610" s="1383"/>
      <c r="DL610" s="1383"/>
      <c r="DM610" s="1383">
        <f t="shared" si="15"/>
        <v>0</v>
      </c>
      <c r="DN610" s="1383"/>
      <c r="DO610" s="1383"/>
      <c r="DP610" s="1383"/>
      <c r="DQ610" s="1383"/>
      <c r="DR610" s="1383">
        <f t="shared" si="16"/>
        <v>0</v>
      </c>
      <c r="DS610" s="1383"/>
      <c r="DT610" s="1383"/>
      <c r="DU610" s="1383"/>
      <c r="DV610" s="1383"/>
      <c r="DX610" s="1379" t="str">
        <f t="shared" si="17"/>
        <v/>
      </c>
      <c r="DY610" s="1380"/>
      <c r="DZ610" s="1380"/>
      <c r="EA610" s="1380"/>
      <c r="EB610" s="1381"/>
      <c r="EC610" s="1379" t="str">
        <f t="shared" si="18"/>
        <v/>
      </c>
      <c r="ED610" s="1380"/>
      <c r="EE610" s="1380"/>
      <c r="EF610" s="1380"/>
      <c r="EG610" s="1381"/>
      <c r="EH610" s="1379" t="str">
        <f t="shared" si="19"/>
        <v/>
      </c>
      <c r="EI610" s="1380"/>
      <c r="EJ610" s="1380"/>
      <c r="EK610" s="1380"/>
      <c r="EL610" s="1381"/>
      <c r="EM610" s="1379" t="str">
        <f t="shared" si="20"/>
        <v/>
      </c>
      <c r="EN610" s="1380"/>
      <c r="EO610" s="1380"/>
      <c r="EP610" s="1380"/>
      <c r="EQ610" s="1381"/>
      <c r="ER610" s="1379" t="str">
        <f t="shared" si="21"/>
        <v/>
      </c>
      <c r="ES610" s="1380"/>
      <c r="ET610" s="1380"/>
      <c r="EU610" s="1380"/>
      <c r="EV610" s="1381"/>
      <c r="EW610" s="1379" t="str">
        <f t="shared" si="22"/>
        <v/>
      </c>
      <c r="EX610" s="1380"/>
      <c r="EY610" s="1380"/>
      <c r="EZ610" s="1380"/>
      <c r="FA610" s="1381"/>
    </row>
    <row r="611" spans="1:157" ht="12.95" customHeight="1">
      <c r="B611" t="s">
        <v>588</v>
      </c>
      <c r="G611" s="1360"/>
      <c r="H611" s="1360"/>
      <c r="I611" s="1360"/>
      <c r="J611" s="1360"/>
      <c r="K611" s="1360"/>
      <c r="L611" s="1360"/>
      <c r="M611" s="1360"/>
      <c r="N611" s="1360"/>
      <c r="O611" s="1360"/>
      <c r="P611" s="1360"/>
      <c r="Q611" s="1360"/>
      <c r="R611" s="1360"/>
      <c r="U611" t="s">
        <v>588</v>
      </c>
      <c r="Z611" s="1362"/>
      <c r="AA611" s="1362"/>
      <c r="AB611" s="1362"/>
      <c r="AC611" s="1362"/>
      <c r="AD611" s="1362"/>
      <c r="AE611" s="1362"/>
      <c r="AF611" s="1362"/>
      <c r="AG611" s="1362"/>
      <c r="AH611" s="1362"/>
      <c r="AI611" s="1362"/>
      <c r="AJ611" s="1362"/>
      <c r="AK611" s="1362"/>
      <c r="AZ611" s="3"/>
      <c r="BA611" s="3"/>
      <c r="BB611" s="3"/>
      <c r="BC611" s="3"/>
      <c r="BD611" s="3"/>
      <c r="BE611" s="1379">
        <f t="shared" si="1"/>
        <v>0</v>
      </c>
      <c r="BF611" s="1381"/>
      <c r="BG611" s="1504">
        <f t="shared" si="2"/>
        <v>0</v>
      </c>
      <c r="BH611" s="1505"/>
      <c r="BI611" s="1379">
        <f t="shared" si="3"/>
        <v>0</v>
      </c>
      <c r="BJ611" s="1381"/>
      <c r="BK611" s="1504">
        <f t="shared" si="4"/>
        <v>0</v>
      </c>
      <c r="BL611" s="1505"/>
      <c r="BM611" s="3"/>
      <c r="BN611" s="1385">
        <f t="shared" si="5"/>
        <v>0</v>
      </c>
      <c r="BO611" s="1386"/>
      <c r="BP611" s="1386"/>
      <c r="BQ611" s="1386"/>
      <c r="BR611" s="1387"/>
      <c r="BS611" s="1384">
        <f t="shared" si="6"/>
        <v>0</v>
      </c>
      <c r="BT611" s="1384"/>
      <c r="BU611" s="1384"/>
      <c r="BV611" s="1384"/>
      <c r="BW611" s="1384"/>
      <c r="BX611" s="1384">
        <f t="shared" si="7"/>
        <v>0</v>
      </c>
      <c r="BY611" s="1384"/>
      <c r="BZ611" s="1384"/>
      <c r="CA611" s="1384"/>
      <c r="CB611" s="1384"/>
      <c r="CC611" s="1384">
        <f t="shared" si="8"/>
        <v>0</v>
      </c>
      <c r="CD611" s="1384"/>
      <c r="CE611" s="1384"/>
      <c r="CF611" s="1384"/>
      <c r="CG611" s="1384"/>
      <c r="CH611" s="1384">
        <f t="shared" si="9"/>
        <v>0</v>
      </c>
      <c r="CI611" s="1384"/>
      <c r="CJ611" s="1384"/>
      <c r="CK611" s="1384"/>
      <c r="CL611" s="1384"/>
      <c r="CM611" s="1384">
        <f t="shared" si="10"/>
        <v>0</v>
      </c>
      <c r="CN611" s="1384"/>
      <c r="CO611" s="1384"/>
      <c r="CP611" s="1384"/>
      <c r="CQ611" s="1384"/>
      <c r="CR611" s="6"/>
      <c r="CS611" s="1383">
        <f t="shared" si="11"/>
        <v>0</v>
      </c>
      <c r="CT611" s="1383"/>
      <c r="CU611" s="1383"/>
      <c r="CV611" s="1383"/>
      <c r="CW611" s="1383"/>
      <c r="CX611" s="1383">
        <f t="shared" si="12"/>
        <v>0</v>
      </c>
      <c r="CY611" s="1383"/>
      <c r="CZ611" s="1383"/>
      <c r="DA611" s="1383"/>
      <c r="DB611" s="1383"/>
      <c r="DC611" s="1383">
        <f t="shared" si="13"/>
        <v>0</v>
      </c>
      <c r="DD611" s="1383"/>
      <c r="DE611" s="1383"/>
      <c r="DF611" s="1383"/>
      <c r="DG611" s="1383"/>
      <c r="DH611" s="1383">
        <f t="shared" si="14"/>
        <v>0</v>
      </c>
      <c r="DI611" s="1383"/>
      <c r="DJ611" s="1383"/>
      <c r="DK611" s="1383"/>
      <c r="DL611" s="1383"/>
      <c r="DM611" s="1383">
        <f t="shared" si="15"/>
        <v>0</v>
      </c>
      <c r="DN611" s="1383"/>
      <c r="DO611" s="1383"/>
      <c r="DP611" s="1383"/>
      <c r="DQ611" s="1383"/>
      <c r="DR611" s="1383">
        <f t="shared" si="16"/>
        <v>0</v>
      </c>
      <c r="DS611" s="1383"/>
      <c r="DT611" s="1383"/>
      <c r="DU611" s="1383"/>
      <c r="DV611" s="1383"/>
      <c r="DX611" s="1379" t="str">
        <f t="shared" si="17"/>
        <v/>
      </c>
      <c r="DY611" s="1380"/>
      <c r="DZ611" s="1380"/>
      <c r="EA611" s="1380"/>
      <c r="EB611" s="1381"/>
      <c r="EC611" s="1379" t="str">
        <f t="shared" si="18"/>
        <v/>
      </c>
      <c r="ED611" s="1380"/>
      <c r="EE611" s="1380"/>
      <c r="EF611" s="1380"/>
      <c r="EG611" s="1381"/>
      <c r="EH611" s="1379" t="str">
        <f t="shared" si="19"/>
        <v/>
      </c>
      <c r="EI611" s="1380"/>
      <c r="EJ611" s="1380"/>
      <c r="EK611" s="1380"/>
      <c r="EL611" s="1381"/>
      <c r="EM611" s="1379" t="str">
        <f t="shared" si="20"/>
        <v/>
      </c>
      <c r="EN611" s="1380"/>
      <c r="EO611" s="1380"/>
      <c r="EP611" s="1380"/>
      <c r="EQ611" s="1381"/>
      <c r="ER611" s="1379" t="str">
        <f t="shared" si="21"/>
        <v/>
      </c>
      <c r="ES611" s="1380"/>
      <c r="ET611" s="1380"/>
      <c r="EU611" s="1380"/>
      <c r="EV611" s="1381"/>
      <c r="EW611" s="1379" t="str">
        <f t="shared" si="22"/>
        <v/>
      </c>
      <c r="EX611" s="1380"/>
      <c r="EY611" s="1380"/>
      <c r="EZ611" s="1380"/>
      <c r="FA611" s="1381"/>
    </row>
    <row r="612" spans="1:157" ht="12.95" customHeight="1">
      <c r="B612" t="s">
        <v>17</v>
      </c>
      <c r="G612" s="1360"/>
      <c r="H612" s="1360"/>
      <c r="I612" s="1360"/>
      <c r="J612" s="1360"/>
      <c r="K612" s="1360"/>
      <c r="L612" s="1360"/>
      <c r="M612" s="1360"/>
      <c r="N612" s="1360"/>
      <c r="O612" s="1360"/>
      <c r="P612" s="1360"/>
      <c r="Q612" s="1360"/>
      <c r="R612" s="1360"/>
      <c r="U612" t="s">
        <v>17</v>
      </c>
      <c r="Z612" s="1362"/>
      <c r="AA612" s="1362"/>
      <c r="AB612" s="1362"/>
      <c r="AC612" s="1362"/>
      <c r="AD612" s="1362"/>
      <c r="AE612" s="1362"/>
      <c r="AF612" s="1362"/>
      <c r="AG612" s="1362"/>
      <c r="AH612" s="1362"/>
      <c r="AI612" s="1362"/>
      <c r="AJ612" s="1362"/>
      <c r="AK612" s="1362"/>
      <c r="AZ612" s="3"/>
      <c r="BA612" s="3"/>
      <c r="BB612" s="3"/>
      <c r="BC612" s="3"/>
      <c r="BD612" s="3"/>
      <c r="BE612" s="1379">
        <f t="shared" si="1"/>
        <v>0</v>
      </c>
      <c r="BF612" s="1381"/>
      <c r="BG612" s="1504">
        <f t="shared" si="2"/>
        <v>0</v>
      </c>
      <c r="BH612" s="1505"/>
      <c r="BI612" s="1379">
        <f t="shared" si="3"/>
        <v>0</v>
      </c>
      <c r="BJ612" s="1381"/>
      <c r="BK612" s="1504">
        <f t="shared" si="4"/>
        <v>0</v>
      </c>
      <c r="BL612" s="1505"/>
      <c r="BM612" s="3"/>
      <c r="BN612" s="1385">
        <f t="shared" si="5"/>
        <v>0</v>
      </c>
      <c r="BO612" s="1386"/>
      <c r="BP612" s="1386"/>
      <c r="BQ612" s="1386"/>
      <c r="BR612" s="1387"/>
      <c r="BS612" s="1384">
        <f t="shared" si="6"/>
        <v>0</v>
      </c>
      <c r="BT612" s="1384"/>
      <c r="BU612" s="1384"/>
      <c r="BV612" s="1384"/>
      <c r="BW612" s="1384"/>
      <c r="BX612" s="1384">
        <f t="shared" si="7"/>
        <v>0</v>
      </c>
      <c r="BY612" s="1384"/>
      <c r="BZ612" s="1384"/>
      <c r="CA612" s="1384"/>
      <c r="CB612" s="1384"/>
      <c r="CC612" s="1384">
        <f t="shared" si="8"/>
        <v>0</v>
      </c>
      <c r="CD612" s="1384"/>
      <c r="CE612" s="1384"/>
      <c r="CF612" s="1384"/>
      <c r="CG612" s="1384"/>
      <c r="CH612" s="1384">
        <f t="shared" si="9"/>
        <v>0</v>
      </c>
      <c r="CI612" s="1384"/>
      <c r="CJ612" s="1384"/>
      <c r="CK612" s="1384"/>
      <c r="CL612" s="1384"/>
      <c r="CM612" s="1384">
        <f t="shared" si="10"/>
        <v>0</v>
      </c>
      <c r="CN612" s="1384"/>
      <c r="CO612" s="1384"/>
      <c r="CP612" s="1384"/>
      <c r="CQ612" s="1384"/>
      <c r="CR612" s="6"/>
      <c r="CS612" s="1383">
        <f t="shared" si="11"/>
        <v>0</v>
      </c>
      <c r="CT612" s="1383"/>
      <c r="CU612" s="1383"/>
      <c r="CV612" s="1383"/>
      <c r="CW612" s="1383"/>
      <c r="CX612" s="1383">
        <f t="shared" si="12"/>
        <v>0</v>
      </c>
      <c r="CY612" s="1383"/>
      <c r="CZ612" s="1383"/>
      <c r="DA612" s="1383"/>
      <c r="DB612" s="1383"/>
      <c r="DC612" s="1383">
        <f t="shared" si="13"/>
        <v>0</v>
      </c>
      <c r="DD612" s="1383"/>
      <c r="DE612" s="1383"/>
      <c r="DF612" s="1383"/>
      <c r="DG612" s="1383"/>
      <c r="DH612" s="1383">
        <f t="shared" si="14"/>
        <v>0</v>
      </c>
      <c r="DI612" s="1383"/>
      <c r="DJ612" s="1383"/>
      <c r="DK612" s="1383"/>
      <c r="DL612" s="1383"/>
      <c r="DM612" s="1383">
        <f t="shared" si="15"/>
        <v>0</v>
      </c>
      <c r="DN612" s="1383"/>
      <c r="DO612" s="1383"/>
      <c r="DP612" s="1383"/>
      <c r="DQ612" s="1383"/>
      <c r="DR612" s="1383">
        <f t="shared" si="16"/>
        <v>0</v>
      </c>
      <c r="DS612" s="1383"/>
      <c r="DT612" s="1383"/>
      <c r="DU612" s="1383"/>
      <c r="DV612" s="1383"/>
      <c r="DX612" s="1379" t="str">
        <f t="shared" si="17"/>
        <v/>
      </c>
      <c r="DY612" s="1380"/>
      <c r="DZ612" s="1380"/>
      <c r="EA612" s="1380"/>
      <c r="EB612" s="1381"/>
      <c r="EC612" s="1379" t="str">
        <f t="shared" si="18"/>
        <v/>
      </c>
      <c r="ED612" s="1380"/>
      <c r="EE612" s="1380"/>
      <c r="EF612" s="1380"/>
      <c r="EG612" s="1381"/>
      <c r="EH612" s="1379" t="str">
        <f t="shared" si="19"/>
        <v/>
      </c>
      <c r="EI612" s="1380"/>
      <c r="EJ612" s="1380"/>
      <c r="EK612" s="1380"/>
      <c r="EL612" s="1381"/>
      <c r="EM612" s="1379" t="str">
        <f t="shared" si="20"/>
        <v/>
      </c>
      <c r="EN612" s="1380"/>
      <c r="EO612" s="1380"/>
      <c r="EP612" s="1380"/>
      <c r="EQ612" s="1381"/>
      <c r="ER612" s="1379" t="str">
        <f t="shared" si="21"/>
        <v/>
      </c>
      <c r="ES612" s="1380"/>
      <c r="ET612" s="1380"/>
      <c r="EU612" s="1380"/>
      <c r="EV612" s="1381"/>
      <c r="EW612" s="1379" t="str">
        <f t="shared" si="22"/>
        <v/>
      </c>
      <c r="EX612" s="1380"/>
      <c r="EY612" s="1380"/>
      <c r="EZ612" s="1380"/>
      <c r="FA612" s="1381"/>
    </row>
    <row r="613" spans="1:157" ht="12.95" customHeight="1">
      <c r="B613" t="s">
        <v>316</v>
      </c>
      <c r="G613" s="1378"/>
      <c r="H613" s="1378"/>
      <c r="I613" s="1378"/>
      <c r="J613" s="1378"/>
      <c r="K613" s="1378"/>
      <c r="L613" s="1378"/>
      <c r="O613" s="33" t="s">
        <v>206</v>
      </c>
      <c r="P613" s="1367"/>
      <c r="Q613" s="1367"/>
      <c r="R613" s="1367"/>
      <c r="U613" t="s">
        <v>316</v>
      </c>
      <c r="Z613" s="1378"/>
      <c r="AA613" s="1378"/>
      <c r="AB613" s="1378"/>
      <c r="AC613" s="1378"/>
      <c r="AD613" s="1378"/>
      <c r="AE613" s="1378"/>
      <c r="AH613" s="33" t="s">
        <v>206</v>
      </c>
      <c r="AI613" s="1367"/>
      <c r="AJ613" s="1367"/>
      <c r="AK613" s="1367"/>
      <c r="AZ613" s="3"/>
      <c r="BA613" s="3"/>
      <c r="BB613" s="3"/>
      <c r="BC613" s="3"/>
      <c r="BD613" s="3"/>
      <c r="BE613" s="1379">
        <f t="shared" si="1"/>
        <v>0</v>
      </c>
      <c r="BF613" s="1381"/>
      <c r="BG613" s="1504">
        <f t="shared" si="2"/>
        <v>0</v>
      </c>
      <c r="BH613" s="1505"/>
      <c r="BI613" s="1379">
        <f t="shared" si="3"/>
        <v>0</v>
      </c>
      <c r="BJ613" s="1381"/>
      <c r="BK613" s="1504">
        <f t="shared" si="4"/>
        <v>0</v>
      </c>
      <c r="BL613" s="1505"/>
      <c r="BM613" s="3"/>
      <c r="BN613" s="1385">
        <f t="shared" si="5"/>
        <v>0</v>
      </c>
      <c r="BO613" s="1386"/>
      <c r="BP613" s="1386"/>
      <c r="BQ613" s="1386"/>
      <c r="BR613" s="1387"/>
      <c r="BS613" s="1384">
        <f t="shared" si="6"/>
        <v>0</v>
      </c>
      <c r="BT613" s="1384"/>
      <c r="BU613" s="1384"/>
      <c r="BV613" s="1384"/>
      <c r="BW613" s="1384"/>
      <c r="BX613" s="1384">
        <f t="shared" si="7"/>
        <v>0</v>
      </c>
      <c r="BY613" s="1384"/>
      <c r="BZ613" s="1384"/>
      <c r="CA613" s="1384"/>
      <c r="CB613" s="1384"/>
      <c r="CC613" s="1384">
        <f t="shared" si="8"/>
        <v>0</v>
      </c>
      <c r="CD613" s="1384"/>
      <c r="CE613" s="1384"/>
      <c r="CF613" s="1384"/>
      <c r="CG613" s="1384"/>
      <c r="CH613" s="1384">
        <f t="shared" si="9"/>
        <v>0</v>
      </c>
      <c r="CI613" s="1384"/>
      <c r="CJ613" s="1384"/>
      <c r="CK613" s="1384"/>
      <c r="CL613" s="1384"/>
      <c r="CM613" s="1384">
        <f t="shared" si="10"/>
        <v>0</v>
      </c>
      <c r="CN613" s="1384"/>
      <c r="CO613" s="1384"/>
      <c r="CP613" s="1384"/>
      <c r="CQ613" s="1384"/>
      <c r="CR613" s="6"/>
      <c r="CS613" s="1383">
        <f t="shared" si="11"/>
        <v>0</v>
      </c>
      <c r="CT613" s="1383"/>
      <c r="CU613" s="1383"/>
      <c r="CV613" s="1383"/>
      <c r="CW613" s="1383"/>
      <c r="CX613" s="1383">
        <f t="shared" si="12"/>
        <v>0</v>
      </c>
      <c r="CY613" s="1383"/>
      <c r="CZ613" s="1383"/>
      <c r="DA613" s="1383"/>
      <c r="DB613" s="1383"/>
      <c r="DC613" s="1383">
        <f t="shared" si="13"/>
        <v>0</v>
      </c>
      <c r="DD613" s="1383"/>
      <c r="DE613" s="1383"/>
      <c r="DF613" s="1383"/>
      <c r="DG613" s="1383"/>
      <c r="DH613" s="1383">
        <f t="shared" si="14"/>
        <v>0</v>
      </c>
      <c r="DI613" s="1383"/>
      <c r="DJ613" s="1383"/>
      <c r="DK613" s="1383"/>
      <c r="DL613" s="1383"/>
      <c r="DM613" s="1383">
        <f t="shared" si="15"/>
        <v>0</v>
      </c>
      <c r="DN613" s="1383"/>
      <c r="DO613" s="1383"/>
      <c r="DP613" s="1383"/>
      <c r="DQ613" s="1383"/>
      <c r="DR613" s="1383">
        <f t="shared" si="16"/>
        <v>0</v>
      </c>
      <c r="DS613" s="1383"/>
      <c r="DT613" s="1383"/>
      <c r="DU613" s="1383"/>
      <c r="DV613" s="1383"/>
      <c r="DX613" s="1379" t="str">
        <f t="shared" si="17"/>
        <v/>
      </c>
      <c r="DY613" s="1380"/>
      <c r="DZ613" s="1380"/>
      <c r="EA613" s="1380"/>
      <c r="EB613" s="1381"/>
      <c r="EC613" s="1379" t="str">
        <f t="shared" si="18"/>
        <v/>
      </c>
      <c r="ED613" s="1380"/>
      <c r="EE613" s="1380"/>
      <c r="EF613" s="1380"/>
      <c r="EG613" s="1381"/>
      <c r="EH613" s="1379" t="str">
        <f t="shared" si="19"/>
        <v/>
      </c>
      <c r="EI613" s="1380"/>
      <c r="EJ613" s="1380"/>
      <c r="EK613" s="1380"/>
      <c r="EL613" s="1381"/>
      <c r="EM613" s="1379" t="str">
        <f t="shared" si="20"/>
        <v/>
      </c>
      <c r="EN613" s="1380"/>
      <c r="EO613" s="1380"/>
      <c r="EP613" s="1380"/>
      <c r="EQ613" s="1381"/>
      <c r="ER613" s="1379" t="str">
        <f t="shared" si="21"/>
        <v/>
      </c>
      <c r="ES613" s="1380"/>
      <c r="ET613" s="1380"/>
      <c r="EU613" s="1380"/>
      <c r="EV613" s="1381"/>
      <c r="EW613" s="1379" t="str">
        <f t="shared" si="22"/>
        <v/>
      </c>
      <c r="EX613" s="1380"/>
      <c r="EY613" s="1380"/>
      <c r="EZ613" s="1380"/>
      <c r="FA613" s="1381"/>
    </row>
    <row r="614" spans="1:157" ht="12.95" customHeight="1">
      <c r="B614" t="s">
        <v>18</v>
      </c>
      <c r="H614" s="1360"/>
      <c r="I614" s="1360"/>
      <c r="J614" s="1360"/>
      <c r="K614" s="1360"/>
      <c r="L614" s="1360"/>
      <c r="M614" s="1360"/>
      <c r="N614" s="1360"/>
      <c r="O614" s="1360"/>
      <c r="P614" s="1360"/>
      <c r="Q614" s="1360"/>
      <c r="R614" s="1360"/>
      <c r="U614" t="s">
        <v>18</v>
      </c>
      <c r="AA614" s="1360"/>
      <c r="AB614" s="1360"/>
      <c r="AC614" s="1360"/>
      <c r="AD614" s="1360"/>
      <c r="AE614" s="1360"/>
      <c r="AF614" s="1360"/>
      <c r="AG614" s="1360"/>
      <c r="AH614" s="1360"/>
      <c r="AI614" s="1360"/>
      <c r="AJ614" s="1360"/>
      <c r="AK614" s="1360"/>
      <c r="AU614" s="934"/>
      <c r="AV614" s="934"/>
      <c r="AW614" s="934"/>
      <c r="AX614" s="934"/>
      <c r="AY614" s="934"/>
      <c r="AZ614" s="3"/>
      <c r="BA614" s="3"/>
      <c r="BB614" s="3"/>
      <c r="BC614" s="3"/>
      <c r="BD614" s="3"/>
      <c r="BE614" s="1379">
        <f t="shared" si="1"/>
        <v>0</v>
      </c>
      <c r="BF614" s="1381"/>
      <c r="BG614" s="1504">
        <f t="shared" si="2"/>
        <v>0</v>
      </c>
      <c r="BH614" s="1505"/>
      <c r="BI614" s="1379">
        <f t="shared" si="3"/>
        <v>0</v>
      </c>
      <c r="BJ614" s="1381"/>
      <c r="BK614" s="1504">
        <f t="shared" si="4"/>
        <v>0</v>
      </c>
      <c r="BL614" s="1505"/>
      <c r="BM614" s="3"/>
      <c r="BN614" s="1385">
        <f t="shared" si="5"/>
        <v>0</v>
      </c>
      <c r="BO614" s="1386"/>
      <c r="BP614" s="1386"/>
      <c r="BQ614" s="1386"/>
      <c r="BR614" s="1387"/>
      <c r="BS614" s="1384">
        <f t="shared" si="6"/>
        <v>0</v>
      </c>
      <c r="BT614" s="1384"/>
      <c r="BU614" s="1384"/>
      <c r="BV614" s="1384"/>
      <c r="BW614" s="1384"/>
      <c r="BX614" s="1384">
        <f t="shared" si="7"/>
        <v>0</v>
      </c>
      <c r="BY614" s="1384"/>
      <c r="BZ614" s="1384"/>
      <c r="CA614" s="1384"/>
      <c r="CB614" s="1384"/>
      <c r="CC614" s="1384">
        <f t="shared" si="8"/>
        <v>0</v>
      </c>
      <c r="CD614" s="1384"/>
      <c r="CE614" s="1384"/>
      <c r="CF614" s="1384"/>
      <c r="CG614" s="1384"/>
      <c r="CH614" s="1384">
        <f t="shared" si="9"/>
        <v>0</v>
      </c>
      <c r="CI614" s="1384"/>
      <c r="CJ614" s="1384"/>
      <c r="CK614" s="1384"/>
      <c r="CL614" s="1384"/>
      <c r="CM614" s="1384">
        <f t="shared" si="10"/>
        <v>0</v>
      </c>
      <c r="CN614" s="1384"/>
      <c r="CO614" s="1384"/>
      <c r="CP614" s="1384"/>
      <c r="CQ614" s="1384"/>
      <c r="CR614" s="6"/>
      <c r="CS614" s="1383">
        <f t="shared" si="11"/>
        <v>0</v>
      </c>
      <c r="CT614" s="1383"/>
      <c r="CU614" s="1383"/>
      <c r="CV614" s="1383"/>
      <c r="CW614" s="1383"/>
      <c r="CX614" s="1383">
        <f t="shared" si="12"/>
        <v>0</v>
      </c>
      <c r="CY614" s="1383"/>
      <c r="CZ614" s="1383"/>
      <c r="DA614" s="1383"/>
      <c r="DB614" s="1383"/>
      <c r="DC614" s="1383">
        <f t="shared" si="13"/>
        <v>0</v>
      </c>
      <c r="DD614" s="1383"/>
      <c r="DE614" s="1383"/>
      <c r="DF614" s="1383"/>
      <c r="DG614" s="1383"/>
      <c r="DH614" s="1383">
        <f t="shared" si="14"/>
        <v>0</v>
      </c>
      <c r="DI614" s="1383"/>
      <c r="DJ614" s="1383"/>
      <c r="DK614" s="1383"/>
      <c r="DL614" s="1383"/>
      <c r="DM614" s="1383">
        <f t="shared" si="15"/>
        <v>0</v>
      </c>
      <c r="DN614" s="1383"/>
      <c r="DO614" s="1383"/>
      <c r="DP614" s="1383"/>
      <c r="DQ614" s="1383"/>
      <c r="DR614" s="1383">
        <f t="shared" si="16"/>
        <v>0</v>
      </c>
      <c r="DS614" s="1383"/>
      <c r="DT614" s="1383"/>
      <c r="DU614" s="1383"/>
      <c r="DV614" s="1383"/>
      <c r="DX614" s="1379" t="str">
        <f t="shared" si="17"/>
        <v/>
      </c>
      <c r="DY614" s="1380"/>
      <c r="DZ614" s="1380"/>
      <c r="EA614" s="1380"/>
      <c r="EB614" s="1381"/>
      <c r="EC614" s="1379" t="str">
        <f t="shared" si="18"/>
        <v/>
      </c>
      <c r="ED614" s="1380"/>
      <c r="EE614" s="1380"/>
      <c r="EF614" s="1380"/>
      <c r="EG614" s="1381"/>
      <c r="EH614" s="1379" t="str">
        <f t="shared" si="19"/>
        <v/>
      </c>
      <c r="EI614" s="1380"/>
      <c r="EJ614" s="1380"/>
      <c r="EK614" s="1380"/>
      <c r="EL614" s="1381"/>
      <c r="EM614" s="1379" t="str">
        <f t="shared" si="20"/>
        <v/>
      </c>
      <c r="EN614" s="1380"/>
      <c r="EO614" s="1380"/>
      <c r="EP614" s="1380"/>
      <c r="EQ614" s="1381"/>
      <c r="ER614" s="1379" t="str">
        <f t="shared" si="21"/>
        <v/>
      </c>
      <c r="ES614" s="1380"/>
      <c r="ET614" s="1380"/>
      <c r="EU614" s="1380"/>
      <c r="EV614" s="1381"/>
      <c r="EW614" s="1379" t="str">
        <f t="shared" si="22"/>
        <v/>
      </c>
      <c r="EX614" s="1380"/>
      <c r="EY614" s="1380"/>
      <c r="EZ614" s="1380"/>
      <c r="FA614" s="1381"/>
    </row>
    <row r="615" spans="1:157" ht="12.95" customHeight="1">
      <c r="B615" t="s">
        <v>20</v>
      </c>
      <c r="N615" s="1366" t="s">
        <v>677</v>
      </c>
      <c r="O615" s="1366"/>
      <c r="U615" t="s">
        <v>20</v>
      </c>
      <c r="AG615" s="1366" t="s">
        <v>677</v>
      </c>
      <c r="AH615" s="1366"/>
      <c r="AU615" s="934"/>
      <c r="AV615" s="934"/>
      <c r="AW615" s="934"/>
      <c r="AX615" s="934"/>
      <c r="AY615" s="934"/>
      <c r="AZ615" s="3"/>
      <c r="BA615" s="3"/>
      <c r="BB615" s="3"/>
      <c r="BC615" s="3"/>
      <c r="BD615" s="3"/>
      <c r="BE615" s="1379">
        <f t="shared" si="1"/>
        <v>0</v>
      </c>
      <c r="BF615" s="1381"/>
      <c r="BG615" s="1504">
        <f t="shared" si="2"/>
        <v>0</v>
      </c>
      <c r="BH615" s="1505"/>
      <c r="BI615" s="1379">
        <f t="shared" si="3"/>
        <v>0</v>
      </c>
      <c r="BJ615" s="1381"/>
      <c r="BK615" s="1504">
        <f t="shared" si="4"/>
        <v>0</v>
      </c>
      <c r="BL615" s="1505"/>
      <c r="BM615" s="3"/>
      <c r="BN615" s="1385">
        <f t="shared" si="5"/>
        <v>0</v>
      </c>
      <c r="BO615" s="1386"/>
      <c r="BP615" s="1386"/>
      <c r="BQ615" s="1386"/>
      <c r="BR615" s="1387"/>
      <c r="BS615" s="1384">
        <f t="shared" si="6"/>
        <v>0</v>
      </c>
      <c r="BT615" s="1384"/>
      <c r="BU615" s="1384"/>
      <c r="BV615" s="1384"/>
      <c r="BW615" s="1384"/>
      <c r="BX615" s="1384">
        <f t="shared" si="7"/>
        <v>0</v>
      </c>
      <c r="BY615" s="1384"/>
      <c r="BZ615" s="1384"/>
      <c r="CA615" s="1384"/>
      <c r="CB615" s="1384"/>
      <c r="CC615" s="1384">
        <f t="shared" si="8"/>
        <v>0</v>
      </c>
      <c r="CD615" s="1384"/>
      <c r="CE615" s="1384"/>
      <c r="CF615" s="1384"/>
      <c r="CG615" s="1384"/>
      <c r="CH615" s="1384">
        <f t="shared" si="9"/>
        <v>0</v>
      </c>
      <c r="CI615" s="1384"/>
      <c r="CJ615" s="1384"/>
      <c r="CK615" s="1384"/>
      <c r="CL615" s="1384"/>
      <c r="CM615" s="1384">
        <f t="shared" si="10"/>
        <v>0</v>
      </c>
      <c r="CN615" s="1384"/>
      <c r="CO615" s="1384"/>
      <c r="CP615" s="1384"/>
      <c r="CQ615" s="1384"/>
      <c r="CR615" s="6"/>
      <c r="CS615" s="1383">
        <f t="shared" si="11"/>
        <v>0</v>
      </c>
      <c r="CT615" s="1383"/>
      <c r="CU615" s="1383"/>
      <c r="CV615" s="1383"/>
      <c r="CW615" s="1383"/>
      <c r="CX615" s="1383">
        <f t="shared" si="12"/>
        <v>0</v>
      </c>
      <c r="CY615" s="1383"/>
      <c r="CZ615" s="1383"/>
      <c r="DA615" s="1383"/>
      <c r="DB615" s="1383"/>
      <c r="DC615" s="1383">
        <f t="shared" si="13"/>
        <v>0</v>
      </c>
      <c r="DD615" s="1383"/>
      <c r="DE615" s="1383"/>
      <c r="DF615" s="1383"/>
      <c r="DG615" s="1383"/>
      <c r="DH615" s="1383">
        <f t="shared" si="14"/>
        <v>0</v>
      </c>
      <c r="DI615" s="1383"/>
      <c r="DJ615" s="1383"/>
      <c r="DK615" s="1383"/>
      <c r="DL615" s="1383"/>
      <c r="DM615" s="1383">
        <f t="shared" si="15"/>
        <v>0</v>
      </c>
      <c r="DN615" s="1383"/>
      <c r="DO615" s="1383"/>
      <c r="DP615" s="1383"/>
      <c r="DQ615" s="1383"/>
      <c r="DR615" s="1383">
        <f t="shared" si="16"/>
        <v>0</v>
      </c>
      <c r="DS615" s="1383"/>
      <c r="DT615" s="1383"/>
      <c r="DU615" s="1383"/>
      <c r="DV615" s="1383"/>
      <c r="DX615" s="1379" t="str">
        <f t="shared" si="17"/>
        <v/>
      </c>
      <c r="DY615" s="1380"/>
      <c r="DZ615" s="1380"/>
      <c r="EA615" s="1380"/>
      <c r="EB615" s="1381"/>
      <c r="EC615" s="1379" t="str">
        <f t="shared" si="18"/>
        <v/>
      </c>
      <c r="ED615" s="1380"/>
      <c r="EE615" s="1380"/>
      <c r="EF615" s="1380"/>
      <c r="EG615" s="1381"/>
      <c r="EH615" s="1379" t="str">
        <f t="shared" si="19"/>
        <v/>
      </c>
      <c r="EI615" s="1380"/>
      <c r="EJ615" s="1380"/>
      <c r="EK615" s="1380"/>
      <c r="EL615" s="1381"/>
      <c r="EM615" s="1379" t="str">
        <f t="shared" si="20"/>
        <v/>
      </c>
      <c r="EN615" s="1380"/>
      <c r="EO615" s="1380"/>
      <c r="EP615" s="1380"/>
      <c r="EQ615" s="1381"/>
      <c r="ER615" s="1379" t="str">
        <f t="shared" si="21"/>
        <v/>
      </c>
      <c r="ES615" s="1380"/>
      <c r="ET615" s="1380"/>
      <c r="EU615" s="1380"/>
      <c r="EV615" s="1381"/>
      <c r="EW615" s="1379" t="str">
        <f t="shared" si="22"/>
        <v/>
      </c>
      <c r="EX615" s="1380"/>
      <c r="EY615" s="1380"/>
      <c r="EZ615" s="1380"/>
      <c r="FA615" s="1381"/>
    </row>
    <row r="616" spans="1:157" ht="12.95" customHeight="1">
      <c r="AZ616" s="3"/>
      <c r="BA616" s="3"/>
      <c r="BB616" s="3"/>
      <c r="BC616" s="3"/>
      <c r="BD616" s="3"/>
      <c r="BE616" s="1379">
        <f t="shared" si="1"/>
        <v>0</v>
      </c>
      <c r="BF616" s="1381"/>
      <c r="BG616" s="1504">
        <f t="shared" si="2"/>
        <v>0</v>
      </c>
      <c r="BH616" s="1505"/>
      <c r="BI616" s="1379">
        <f t="shared" si="3"/>
        <v>0</v>
      </c>
      <c r="BJ616" s="1381"/>
      <c r="BK616" s="1504">
        <f t="shared" si="4"/>
        <v>0</v>
      </c>
      <c r="BL616" s="1505"/>
      <c r="BM616" s="3"/>
      <c r="BN616" s="1385">
        <f t="shared" si="5"/>
        <v>0</v>
      </c>
      <c r="BO616" s="1386"/>
      <c r="BP616" s="1386"/>
      <c r="BQ616" s="1386"/>
      <c r="BR616" s="1387"/>
      <c r="BS616" s="1384">
        <f t="shared" si="6"/>
        <v>0</v>
      </c>
      <c r="BT616" s="1384"/>
      <c r="BU616" s="1384"/>
      <c r="BV616" s="1384"/>
      <c r="BW616" s="1384"/>
      <c r="BX616" s="1384">
        <f t="shared" si="7"/>
        <v>0</v>
      </c>
      <c r="BY616" s="1384"/>
      <c r="BZ616" s="1384"/>
      <c r="CA616" s="1384"/>
      <c r="CB616" s="1384"/>
      <c r="CC616" s="1384">
        <f t="shared" si="8"/>
        <v>0</v>
      </c>
      <c r="CD616" s="1384"/>
      <c r="CE616" s="1384"/>
      <c r="CF616" s="1384"/>
      <c r="CG616" s="1384"/>
      <c r="CH616" s="1384">
        <f t="shared" si="9"/>
        <v>0</v>
      </c>
      <c r="CI616" s="1384"/>
      <c r="CJ616" s="1384"/>
      <c r="CK616" s="1384"/>
      <c r="CL616" s="1384"/>
      <c r="CM616" s="1384">
        <f t="shared" si="10"/>
        <v>0</v>
      </c>
      <c r="CN616" s="1384"/>
      <c r="CO616" s="1384"/>
      <c r="CP616" s="1384"/>
      <c r="CQ616" s="1384"/>
      <c r="CR616" s="6"/>
      <c r="CS616" s="1383">
        <f t="shared" si="11"/>
        <v>0</v>
      </c>
      <c r="CT616" s="1383"/>
      <c r="CU616" s="1383"/>
      <c r="CV616" s="1383"/>
      <c r="CW616" s="1383"/>
      <c r="CX616" s="1383">
        <f t="shared" si="12"/>
        <v>0</v>
      </c>
      <c r="CY616" s="1383"/>
      <c r="CZ616" s="1383"/>
      <c r="DA616" s="1383"/>
      <c r="DB616" s="1383"/>
      <c r="DC616" s="1383">
        <f t="shared" si="13"/>
        <v>0</v>
      </c>
      <c r="DD616" s="1383"/>
      <c r="DE616" s="1383"/>
      <c r="DF616" s="1383"/>
      <c r="DG616" s="1383"/>
      <c r="DH616" s="1383">
        <f t="shared" si="14"/>
        <v>0</v>
      </c>
      <c r="DI616" s="1383"/>
      <c r="DJ616" s="1383"/>
      <c r="DK616" s="1383"/>
      <c r="DL616" s="1383"/>
      <c r="DM616" s="1383">
        <f t="shared" si="15"/>
        <v>0</v>
      </c>
      <c r="DN616" s="1383"/>
      <c r="DO616" s="1383"/>
      <c r="DP616" s="1383"/>
      <c r="DQ616" s="1383"/>
      <c r="DR616" s="1383">
        <f t="shared" si="16"/>
        <v>0</v>
      </c>
      <c r="DS616" s="1383"/>
      <c r="DT616" s="1383"/>
      <c r="DU616" s="1383"/>
      <c r="DV616" s="1383"/>
      <c r="DX616" s="1379" t="str">
        <f t="shared" si="17"/>
        <v/>
      </c>
      <c r="DY616" s="1380"/>
      <c r="DZ616" s="1380"/>
      <c r="EA616" s="1380"/>
      <c r="EB616" s="1381"/>
      <c r="EC616" s="1379" t="str">
        <f t="shared" si="18"/>
        <v/>
      </c>
      <c r="ED616" s="1380"/>
      <c r="EE616" s="1380"/>
      <c r="EF616" s="1380"/>
      <c r="EG616" s="1381"/>
      <c r="EH616" s="1379" t="str">
        <f t="shared" si="19"/>
        <v/>
      </c>
      <c r="EI616" s="1380"/>
      <c r="EJ616" s="1380"/>
      <c r="EK616" s="1380"/>
      <c r="EL616" s="1381"/>
      <c r="EM616" s="1379" t="str">
        <f t="shared" si="20"/>
        <v/>
      </c>
      <c r="EN616" s="1380"/>
      <c r="EO616" s="1380"/>
      <c r="EP616" s="1380"/>
      <c r="EQ616" s="1381"/>
      <c r="ER616" s="1379" t="str">
        <f t="shared" si="21"/>
        <v/>
      </c>
      <c r="ES616" s="1380"/>
      <c r="ET616" s="1380"/>
      <c r="EU616" s="1380"/>
      <c r="EV616" s="1381"/>
      <c r="EW616" s="1379" t="str">
        <f t="shared" si="22"/>
        <v/>
      </c>
      <c r="EX616" s="1380"/>
      <c r="EY616" s="1380"/>
      <c r="EZ616" s="1380"/>
      <c r="FA616" s="1381"/>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79">
        <f t="shared" si="1"/>
        <v>0</v>
      </c>
      <c r="BF617" s="1381"/>
      <c r="BG617" s="1504">
        <f t="shared" si="2"/>
        <v>0</v>
      </c>
      <c r="BH617" s="1505"/>
      <c r="BI617" s="1379">
        <f t="shared" si="3"/>
        <v>0</v>
      </c>
      <c r="BJ617" s="1381"/>
      <c r="BK617" s="1504">
        <f t="shared" si="4"/>
        <v>0</v>
      </c>
      <c r="BL617" s="1505"/>
      <c r="BM617" s="3"/>
      <c r="BN617" s="1385">
        <f t="shared" si="5"/>
        <v>0</v>
      </c>
      <c r="BO617" s="1386"/>
      <c r="BP617" s="1386"/>
      <c r="BQ617" s="1386"/>
      <c r="BR617" s="1387"/>
      <c r="BS617" s="1384">
        <f t="shared" si="6"/>
        <v>0</v>
      </c>
      <c r="BT617" s="1384"/>
      <c r="BU617" s="1384"/>
      <c r="BV617" s="1384"/>
      <c r="BW617" s="1384"/>
      <c r="BX617" s="1384">
        <f t="shared" si="7"/>
        <v>0</v>
      </c>
      <c r="BY617" s="1384"/>
      <c r="BZ617" s="1384"/>
      <c r="CA617" s="1384"/>
      <c r="CB617" s="1384"/>
      <c r="CC617" s="1384">
        <f t="shared" si="8"/>
        <v>0</v>
      </c>
      <c r="CD617" s="1384"/>
      <c r="CE617" s="1384"/>
      <c r="CF617" s="1384"/>
      <c r="CG617" s="1384"/>
      <c r="CH617" s="1384">
        <f t="shared" si="9"/>
        <v>0</v>
      </c>
      <c r="CI617" s="1384"/>
      <c r="CJ617" s="1384"/>
      <c r="CK617" s="1384"/>
      <c r="CL617" s="1384"/>
      <c r="CM617" s="1384">
        <f t="shared" si="10"/>
        <v>0</v>
      </c>
      <c r="CN617" s="1384"/>
      <c r="CO617" s="1384"/>
      <c r="CP617" s="1384"/>
      <c r="CQ617" s="1384"/>
      <c r="CR617" s="6"/>
      <c r="CS617" s="1383">
        <f t="shared" si="11"/>
        <v>0</v>
      </c>
      <c r="CT617" s="1383"/>
      <c r="CU617" s="1383"/>
      <c r="CV617" s="1383"/>
      <c r="CW617" s="1383"/>
      <c r="CX617" s="1383">
        <f t="shared" si="12"/>
        <v>0</v>
      </c>
      <c r="CY617" s="1383"/>
      <c r="CZ617" s="1383"/>
      <c r="DA617" s="1383"/>
      <c r="DB617" s="1383"/>
      <c r="DC617" s="1383">
        <f t="shared" si="13"/>
        <v>0</v>
      </c>
      <c r="DD617" s="1383"/>
      <c r="DE617" s="1383"/>
      <c r="DF617" s="1383"/>
      <c r="DG617" s="1383"/>
      <c r="DH617" s="1383">
        <f t="shared" si="14"/>
        <v>0</v>
      </c>
      <c r="DI617" s="1383"/>
      <c r="DJ617" s="1383"/>
      <c r="DK617" s="1383"/>
      <c r="DL617" s="1383"/>
      <c r="DM617" s="1383">
        <f t="shared" si="15"/>
        <v>0</v>
      </c>
      <c r="DN617" s="1383"/>
      <c r="DO617" s="1383"/>
      <c r="DP617" s="1383"/>
      <c r="DQ617" s="1383"/>
      <c r="DR617" s="1383">
        <f t="shared" si="16"/>
        <v>0</v>
      </c>
      <c r="DS617" s="1383"/>
      <c r="DT617" s="1383"/>
      <c r="DU617" s="1383"/>
      <c r="DV617" s="1383"/>
      <c r="DX617" s="1379" t="str">
        <f t="shared" si="17"/>
        <v/>
      </c>
      <c r="DY617" s="1380"/>
      <c r="DZ617" s="1380"/>
      <c r="EA617" s="1380"/>
      <c r="EB617" s="1381"/>
      <c r="EC617" s="1379" t="str">
        <f t="shared" si="18"/>
        <v/>
      </c>
      <c r="ED617" s="1380"/>
      <c r="EE617" s="1380"/>
      <c r="EF617" s="1380"/>
      <c r="EG617" s="1381"/>
      <c r="EH617" s="1379" t="str">
        <f t="shared" si="19"/>
        <v/>
      </c>
      <c r="EI617" s="1380"/>
      <c r="EJ617" s="1380"/>
      <c r="EK617" s="1380"/>
      <c r="EL617" s="1381"/>
      <c r="EM617" s="1379" t="str">
        <f t="shared" si="20"/>
        <v/>
      </c>
      <c r="EN617" s="1380"/>
      <c r="EO617" s="1380"/>
      <c r="EP617" s="1380"/>
      <c r="EQ617" s="1381"/>
      <c r="ER617" s="1379" t="str">
        <f t="shared" si="21"/>
        <v/>
      </c>
      <c r="ES617" s="1380"/>
      <c r="ET617" s="1380"/>
      <c r="EU617" s="1380"/>
      <c r="EV617" s="1381"/>
      <c r="EW617" s="1379" t="str">
        <f t="shared" si="22"/>
        <v/>
      </c>
      <c r="EX617" s="1380"/>
      <c r="EY617" s="1380"/>
      <c r="EZ617" s="1380"/>
      <c r="FA617" s="1381"/>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79">
        <f t="shared" si="1"/>
        <v>0</v>
      </c>
      <c r="BF618" s="1381"/>
      <c r="BG618" s="1504">
        <f t="shared" si="2"/>
        <v>0</v>
      </c>
      <c r="BH618" s="1505"/>
      <c r="BI618" s="1379">
        <f t="shared" si="3"/>
        <v>0</v>
      </c>
      <c r="BJ618" s="1381"/>
      <c r="BK618" s="1504">
        <f t="shared" si="4"/>
        <v>0</v>
      </c>
      <c r="BL618" s="1505"/>
      <c r="BM618" s="3"/>
      <c r="BN618" s="1385">
        <f t="shared" si="5"/>
        <v>0</v>
      </c>
      <c r="BO618" s="1386"/>
      <c r="BP618" s="1386"/>
      <c r="BQ618" s="1386"/>
      <c r="BR618" s="1387"/>
      <c r="BS618" s="1384">
        <f t="shared" si="6"/>
        <v>0</v>
      </c>
      <c r="BT618" s="1384"/>
      <c r="BU618" s="1384"/>
      <c r="BV618" s="1384"/>
      <c r="BW618" s="1384"/>
      <c r="BX618" s="1384">
        <f t="shared" si="7"/>
        <v>0</v>
      </c>
      <c r="BY618" s="1384"/>
      <c r="BZ618" s="1384"/>
      <c r="CA618" s="1384"/>
      <c r="CB618" s="1384"/>
      <c r="CC618" s="1384">
        <f t="shared" si="8"/>
        <v>0</v>
      </c>
      <c r="CD618" s="1384"/>
      <c r="CE618" s="1384"/>
      <c r="CF618" s="1384"/>
      <c r="CG618" s="1384"/>
      <c r="CH618" s="1384">
        <f t="shared" si="9"/>
        <v>0</v>
      </c>
      <c r="CI618" s="1384"/>
      <c r="CJ618" s="1384"/>
      <c r="CK618" s="1384"/>
      <c r="CL618" s="1384"/>
      <c r="CM618" s="1384">
        <f t="shared" si="10"/>
        <v>0</v>
      </c>
      <c r="CN618" s="1384"/>
      <c r="CO618" s="1384"/>
      <c r="CP618" s="1384"/>
      <c r="CQ618" s="1384"/>
      <c r="CR618" s="6"/>
      <c r="CS618" s="1383">
        <f t="shared" si="11"/>
        <v>0</v>
      </c>
      <c r="CT618" s="1383"/>
      <c r="CU618" s="1383"/>
      <c r="CV618" s="1383"/>
      <c r="CW618" s="1383"/>
      <c r="CX618" s="1383">
        <f t="shared" si="12"/>
        <v>0</v>
      </c>
      <c r="CY618" s="1383"/>
      <c r="CZ618" s="1383"/>
      <c r="DA618" s="1383"/>
      <c r="DB618" s="1383"/>
      <c r="DC618" s="1383">
        <f t="shared" si="13"/>
        <v>0</v>
      </c>
      <c r="DD618" s="1383"/>
      <c r="DE618" s="1383"/>
      <c r="DF618" s="1383"/>
      <c r="DG618" s="1383"/>
      <c r="DH618" s="1383">
        <f t="shared" si="14"/>
        <v>0</v>
      </c>
      <c r="DI618" s="1383"/>
      <c r="DJ618" s="1383"/>
      <c r="DK618" s="1383"/>
      <c r="DL618" s="1383"/>
      <c r="DM618" s="1383">
        <f t="shared" si="15"/>
        <v>0</v>
      </c>
      <c r="DN618" s="1383"/>
      <c r="DO618" s="1383"/>
      <c r="DP618" s="1383"/>
      <c r="DQ618" s="1383"/>
      <c r="DR618" s="1383">
        <f t="shared" si="16"/>
        <v>0</v>
      </c>
      <c r="DS618" s="1383"/>
      <c r="DT618" s="1383"/>
      <c r="DU618" s="1383"/>
      <c r="DV618" s="1383"/>
      <c r="DX618" s="1379" t="str">
        <f t="shared" si="17"/>
        <v/>
      </c>
      <c r="DY618" s="1380"/>
      <c r="DZ618" s="1380"/>
      <c r="EA618" s="1380"/>
      <c r="EB618" s="1381"/>
      <c r="EC618" s="1379" t="str">
        <f t="shared" si="18"/>
        <v/>
      </c>
      <c r="ED618" s="1380"/>
      <c r="EE618" s="1380"/>
      <c r="EF618" s="1380"/>
      <c r="EG618" s="1381"/>
      <c r="EH618" s="1379" t="str">
        <f t="shared" si="19"/>
        <v/>
      </c>
      <c r="EI618" s="1380"/>
      <c r="EJ618" s="1380"/>
      <c r="EK618" s="1380"/>
      <c r="EL618" s="1381"/>
      <c r="EM618" s="1379" t="str">
        <f t="shared" si="20"/>
        <v/>
      </c>
      <c r="EN618" s="1380"/>
      <c r="EO618" s="1380"/>
      <c r="EP618" s="1380"/>
      <c r="EQ618" s="1381"/>
      <c r="ER618" s="1379" t="str">
        <f t="shared" si="21"/>
        <v/>
      </c>
      <c r="ES618" s="1380"/>
      <c r="ET618" s="1380"/>
      <c r="EU618" s="1380"/>
      <c r="EV618" s="1381"/>
      <c r="EW618" s="1379" t="str">
        <f t="shared" si="22"/>
        <v/>
      </c>
      <c r="EX618" s="1380"/>
      <c r="EY618" s="1380"/>
      <c r="EZ618" s="1380"/>
      <c r="FA618" s="1381"/>
    </row>
    <row r="619" spans="1:157" ht="12.95" customHeight="1">
      <c r="AZ619" s="3"/>
      <c r="BA619" s="3"/>
      <c r="BB619" s="3"/>
      <c r="BC619" s="3"/>
      <c r="BD619" s="3"/>
      <c r="BE619" s="1379">
        <f t="shared" si="1"/>
        <v>0</v>
      </c>
      <c r="BF619" s="1381"/>
      <c r="BG619" s="1504">
        <f t="shared" si="2"/>
        <v>0</v>
      </c>
      <c r="BH619" s="1505"/>
      <c r="BI619" s="1379">
        <f t="shared" si="3"/>
        <v>0</v>
      </c>
      <c r="BJ619" s="1381"/>
      <c r="BK619" s="1504">
        <f t="shared" si="4"/>
        <v>0</v>
      </c>
      <c r="BL619" s="1505"/>
      <c r="BM619" s="3"/>
      <c r="BN619" s="1385">
        <f t="shared" si="5"/>
        <v>0</v>
      </c>
      <c r="BO619" s="1386"/>
      <c r="BP619" s="1386"/>
      <c r="BQ619" s="1386"/>
      <c r="BR619" s="1387"/>
      <c r="BS619" s="1384">
        <f t="shared" si="6"/>
        <v>0</v>
      </c>
      <c r="BT619" s="1384"/>
      <c r="BU619" s="1384"/>
      <c r="BV619" s="1384"/>
      <c r="BW619" s="1384"/>
      <c r="BX619" s="1384">
        <f t="shared" si="7"/>
        <v>0</v>
      </c>
      <c r="BY619" s="1384"/>
      <c r="BZ619" s="1384"/>
      <c r="CA619" s="1384"/>
      <c r="CB619" s="1384"/>
      <c r="CC619" s="1384">
        <f t="shared" si="8"/>
        <v>0</v>
      </c>
      <c r="CD619" s="1384"/>
      <c r="CE619" s="1384"/>
      <c r="CF619" s="1384"/>
      <c r="CG619" s="1384"/>
      <c r="CH619" s="1384">
        <f t="shared" si="9"/>
        <v>0</v>
      </c>
      <c r="CI619" s="1384"/>
      <c r="CJ619" s="1384"/>
      <c r="CK619" s="1384"/>
      <c r="CL619" s="1384"/>
      <c r="CM619" s="1384">
        <f t="shared" si="10"/>
        <v>0</v>
      </c>
      <c r="CN619" s="1384"/>
      <c r="CO619" s="1384"/>
      <c r="CP619" s="1384"/>
      <c r="CQ619" s="1384"/>
      <c r="CR619" s="6"/>
      <c r="CS619" s="1383">
        <f t="shared" si="11"/>
        <v>0</v>
      </c>
      <c r="CT619" s="1383"/>
      <c r="CU619" s="1383"/>
      <c r="CV619" s="1383"/>
      <c r="CW619" s="1383"/>
      <c r="CX619" s="1383">
        <f t="shared" si="12"/>
        <v>0</v>
      </c>
      <c r="CY619" s="1383"/>
      <c r="CZ619" s="1383"/>
      <c r="DA619" s="1383"/>
      <c r="DB619" s="1383"/>
      <c r="DC619" s="1383">
        <f t="shared" si="13"/>
        <v>0</v>
      </c>
      <c r="DD619" s="1383"/>
      <c r="DE619" s="1383"/>
      <c r="DF619" s="1383"/>
      <c r="DG619" s="1383"/>
      <c r="DH619" s="1383">
        <f t="shared" si="14"/>
        <v>0</v>
      </c>
      <c r="DI619" s="1383"/>
      <c r="DJ619" s="1383"/>
      <c r="DK619" s="1383"/>
      <c r="DL619" s="1383"/>
      <c r="DM619" s="1383">
        <f t="shared" si="15"/>
        <v>0</v>
      </c>
      <c r="DN619" s="1383"/>
      <c r="DO619" s="1383"/>
      <c r="DP619" s="1383"/>
      <c r="DQ619" s="1383"/>
      <c r="DR619" s="1383">
        <f t="shared" si="16"/>
        <v>0</v>
      </c>
      <c r="DS619" s="1383"/>
      <c r="DT619" s="1383"/>
      <c r="DU619" s="1383"/>
      <c r="DV619" s="1383"/>
      <c r="DX619" s="1379" t="str">
        <f t="shared" si="17"/>
        <v/>
      </c>
      <c r="DY619" s="1380"/>
      <c r="DZ619" s="1380"/>
      <c r="EA619" s="1380"/>
      <c r="EB619" s="1381"/>
      <c r="EC619" s="1379" t="str">
        <f t="shared" si="18"/>
        <v/>
      </c>
      <c r="ED619" s="1380"/>
      <c r="EE619" s="1380"/>
      <c r="EF619" s="1380"/>
      <c r="EG619" s="1381"/>
      <c r="EH619" s="1379" t="str">
        <f t="shared" si="19"/>
        <v/>
      </c>
      <c r="EI619" s="1380"/>
      <c r="EJ619" s="1380"/>
      <c r="EK619" s="1380"/>
      <c r="EL619" s="1381"/>
      <c r="EM619" s="1379" t="str">
        <f t="shared" si="20"/>
        <v/>
      </c>
      <c r="EN619" s="1380"/>
      <c r="EO619" s="1380"/>
      <c r="EP619" s="1380"/>
      <c r="EQ619" s="1381"/>
      <c r="ER619" s="1379" t="str">
        <f t="shared" si="21"/>
        <v/>
      </c>
      <c r="ES619" s="1380"/>
      <c r="ET619" s="1380"/>
      <c r="EU619" s="1380"/>
      <c r="EV619" s="1381"/>
      <c r="EW619" s="1379" t="str">
        <f t="shared" si="22"/>
        <v/>
      </c>
      <c r="EX619" s="1380"/>
      <c r="EY619" s="1380"/>
      <c r="EZ619" s="1380"/>
      <c r="FA619" s="1381"/>
    </row>
    <row r="620" spans="1:157" ht="12.95" customHeight="1">
      <c r="A620" s="2" t="s">
        <v>319</v>
      </c>
      <c r="B620" s="2"/>
      <c r="C620" s="2" t="s">
        <v>21</v>
      </c>
      <c r="AZ620" s="3"/>
      <c r="BA620" s="3"/>
      <c r="BB620" s="3"/>
      <c r="BC620" s="3"/>
      <c r="BD620" s="3"/>
      <c r="BE620" s="1379">
        <f t="shared" si="1"/>
        <v>0</v>
      </c>
      <c r="BF620" s="1381"/>
      <c r="BG620" s="1504">
        <f t="shared" si="2"/>
        <v>0</v>
      </c>
      <c r="BH620" s="1505"/>
      <c r="BI620" s="1379">
        <f t="shared" si="3"/>
        <v>0</v>
      </c>
      <c r="BJ620" s="1381"/>
      <c r="BK620" s="1504">
        <f t="shared" si="4"/>
        <v>0</v>
      </c>
      <c r="BL620" s="1505"/>
      <c r="BM620" s="3"/>
      <c r="BN620" s="1385">
        <f t="shared" si="5"/>
        <v>0</v>
      </c>
      <c r="BO620" s="1386"/>
      <c r="BP620" s="1386"/>
      <c r="BQ620" s="1386"/>
      <c r="BR620" s="1387"/>
      <c r="BS620" s="1384">
        <f t="shared" si="6"/>
        <v>0</v>
      </c>
      <c r="BT620" s="1384"/>
      <c r="BU620" s="1384"/>
      <c r="BV620" s="1384"/>
      <c r="BW620" s="1384"/>
      <c r="BX620" s="1384">
        <f t="shared" si="7"/>
        <v>0</v>
      </c>
      <c r="BY620" s="1384"/>
      <c r="BZ620" s="1384"/>
      <c r="CA620" s="1384"/>
      <c r="CB620" s="1384"/>
      <c r="CC620" s="1384">
        <f t="shared" si="8"/>
        <v>0</v>
      </c>
      <c r="CD620" s="1384"/>
      <c r="CE620" s="1384"/>
      <c r="CF620" s="1384"/>
      <c r="CG620" s="1384"/>
      <c r="CH620" s="1384">
        <f t="shared" si="9"/>
        <v>0</v>
      </c>
      <c r="CI620" s="1384"/>
      <c r="CJ620" s="1384"/>
      <c r="CK620" s="1384"/>
      <c r="CL620" s="1384"/>
      <c r="CM620" s="1384">
        <f t="shared" si="10"/>
        <v>0</v>
      </c>
      <c r="CN620" s="1384"/>
      <c r="CO620" s="1384"/>
      <c r="CP620" s="1384"/>
      <c r="CQ620" s="1384"/>
      <c r="CR620" s="6"/>
      <c r="CS620" s="1383">
        <f t="shared" si="11"/>
        <v>0</v>
      </c>
      <c r="CT620" s="1383"/>
      <c r="CU620" s="1383"/>
      <c r="CV620" s="1383"/>
      <c r="CW620" s="1383"/>
      <c r="CX620" s="1383">
        <f t="shared" si="12"/>
        <v>0</v>
      </c>
      <c r="CY620" s="1383"/>
      <c r="CZ620" s="1383"/>
      <c r="DA620" s="1383"/>
      <c r="DB620" s="1383"/>
      <c r="DC620" s="1383">
        <f t="shared" si="13"/>
        <v>0</v>
      </c>
      <c r="DD620" s="1383"/>
      <c r="DE620" s="1383"/>
      <c r="DF620" s="1383"/>
      <c r="DG620" s="1383"/>
      <c r="DH620" s="1383">
        <f t="shared" si="14"/>
        <v>0</v>
      </c>
      <c r="DI620" s="1383"/>
      <c r="DJ620" s="1383"/>
      <c r="DK620" s="1383"/>
      <c r="DL620" s="1383"/>
      <c r="DM620" s="1383">
        <f t="shared" si="15"/>
        <v>0</v>
      </c>
      <c r="DN620" s="1383"/>
      <c r="DO620" s="1383"/>
      <c r="DP620" s="1383"/>
      <c r="DQ620" s="1383"/>
      <c r="DR620" s="1383">
        <f t="shared" si="16"/>
        <v>0</v>
      </c>
      <c r="DS620" s="1383"/>
      <c r="DT620" s="1383"/>
      <c r="DU620" s="1383"/>
      <c r="DV620" s="1383"/>
      <c r="DX620" s="1379" t="str">
        <f t="shared" si="17"/>
        <v/>
      </c>
      <c r="DY620" s="1380"/>
      <c r="DZ620" s="1380"/>
      <c r="EA620" s="1380"/>
      <c r="EB620" s="1381"/>
      <c r="EC620" s="1379" t="str">
        <f t="shared" si="18"/>
        <v/>
      </c>
      <c r="ED620" s="1380"/>
      <c r="EE620" s="1380"/>
      <c r="EF620" s="1380"/>
      <c r="EG620" s="1381"/>
      <c r="EH620" s="1379" t="str">
        <f t="shared" si="19"/>
        <v/>
      </c>
      <c r="EI620" s="1380"/>
      <c r="EJ620" s="1380"/>
      <c r="EK620" s="1380"/>
      <c r="EL620" s="1381"/>
      <c r="EM620" s="1379" t="str">
        <f t="shared" si="20"/>
        <v/>
      </c>
      <c r="EN620" s="1380"/>
      <c r="EO620" s="1380"/>
      <c r="EP620" s="1380"/>
      <c r="EQ620" s="1381"/>
      <c r="ER620" s="1379" t="str">
        <f t="shared" si="21"/>
        <v/>
      </c>
      <c r="ES620" s="1380"/>
      <c r="ET620" s="1380"/>
      <c r="EU620" s="1380"/>
      <c r="EV620" s="1381"/>
      <c r="EW620" s="1379" t="str">
        <f t="shared" si="22"/>
        <v/>
      </c>
      <c r="EX620" s="1380"/>
      <c r="EY620" s="1380"/>
      <c r="EZ620" s="1380"/>
      <c r="FA620" s="1381"/>
    </row>
    <row r="621" spans="1:157" ht="12.95" customHeight="1">
      <c r="A621" s="2"/>
      <c r="B621" s="2"/>
      <c r="C621" s="2"/>
      <c r="AZ621" s="3"/>
      <c r="BA621" s="3"/>
      <c r="BB621" s="3"/>
      <c r="BC621" s="3"/>
      <c r="BD621" s="3"/>
      <c r="BE621" s="1379">
        <f t="shared" si="1"/>
        <v>0</v>
      </c>
      <c r="BF621" s="1381"/>
      <c r="BG621" s="1504">
        <f t="shared" si="2"/>
        <v>0</v>
      </c>
      <c r="BH621" s="1505"/>
      <c r="BI621" s="1379">
        <f t="shared" si="3"/>
        <v>0</v>
      </c>
      <c r="BJ621" s="1381"/>
      <c r="BK621" s="1504">
        <f t="shared" si="4"/>
        <v>0</v>
      </c>
      <c r="BL621" s="1505"/>
      <c r="BM621" s="3"/>
      <c r="BN621" s="1385">
        <f t="shared" si="5"/>
        <v>0</v>
      </c>
      <c r="BO621" s="1386"/>
      <c r="BP621" s="1386"/>
      <c r="BQ621" s="1386"/>
      <c r="BR621" s="1387"/>
      <c r="BS621" s="1384">
        <f t="shared" si="6"/>
        <v>0</v>
      </c>
      <c r="BT621" s="1384"/>
      <c r="BU621" s="1384"/>
      <c r="BV621" s="1384"/>
      <c r="BW621" s="1384"/>
      <c r="BX621" s="1384">
        <f t="shared" si="7"/>
        <v>0</v>
      </c>
      <c r="BY621" s="1384"/>
      <c r="BZ621" s="1384"/>
      <c r="CA621" s="1384"/>
      <c r="CB621" s="1384"/>
      <c r="CC621" s="1384">
        <f t="shared" si="8"/>
        <v>0</v>
      </c>
      <c r="CD621" s="1384"/>
      <c r="CE621" s="1384"/>
      <c r="CF621" s="1384"/>
      <c r="CG621" s="1384"/>
      <c r="CH621" s="1384">
        <f t="shared" si="9"/>
        <v>0</v>
      </c>
      <c r="CI621" s="1384"/>
      <c r="CJ621" s="1384"/>
      <c r="CK621" s="1384"/>
      <c r="CL621" s="1384"/>
      <c r="CM621" s="1384">
        <f t="shared" si="10"/>
        <v>0</v>
      </c>
      <c r="CN621" s="1384"/>
      <c r="CO621" s="1384"/>
      <c r="CP621" s="1384"/>
      <c r="CQ621" s="1384"/>
      <c r="CR621" s="6"/>
      <c r="CS621" s="1383">
        <f t="shared" si="11"/>
        <v>0</v>
      </c>
      <c r="CT621" s="1383"/>
      <c r="CU621" s="1383"/>
      <c r="CV621" s="1383"/>
      <c r="CW621" s="1383"/>
      <c r="CX621" s="1383">
        <f t="shared" si="12"/>
        <v>0</v>
      </c>
      <c r="CY621" s="1383"/>
      <c r="CZ621" s="1383"/>
      <c r="DA621" s="1383"/>
      <c r="DB621" s="1383"/>
      <c r="DC621" s="1383">
        <f t="shared" si="13"/>
        <v>0</v>
      </c>
      <c r="DD621" s="1383"/>
      <c r="DE621" s="1383"/>
      <c r="DF621" s="1383"/>
      <c r="DG621" s="1383"/>
      <c r="DH621" s="1383">
        <f t="shared" si="14"/>
        <v>0</v>
      </c>
      <c r="DI621" s="1383"/>
      <c r="DJ621" s="1383"/>
      <c r="DK621" s="1383"/>
      <c r="DL621" s="1383"/>
      <c r="DM621" s="1383">
        <f t="shared" si="15"/>
        <v>0</v>
      </c>
      <c r="DN621" s="1383"/>
      <c r="DO621" s="1383"/>
      <c r="DP621" s="1383"/>
      <c r="DQ621" s="1383"/>
      <c r="DR621" s="1383">
        <f t="shared" si="16"/>
        <v>0</v>
      </c>
      <c r="DS621" s="1383"/>
      <c r="DT621" s="1383"/>
      <c r="DU621" s="1383"/>
      <c r="DV621" s="1383"/>
      <c r="DX621" s="1379" t="str">
        <f t="shared" si="17"/>
        <v/>
      </c>
      <c r="DY621" s="1380"/>
      <c r="DZ621" s="1380"/>
      <c r="EA621" s="1380"/>
      <c r="EB621" s="1381"/>
      <c r="EC621" s="1379" t="str">
        <f t="shared" si="18"/>
        <v/>
      </c>
      <c r="ED621" s="1380"/>
      <c r="EE621" s="1380"/>
      <c r="EF621" s="1380"/>
      <c r="EG621" s="1381"/>
      <c r="EH621" s="1379" t="str">
        <f t="shared" si="19"/>
        <v/>
      </c>
      <c r="EI621" s="1380"/>
      <c r="EJ621" s="1380"/>
      <c r="EK621" s="1380"/>
      <c r="EL621" s="1381"/>
      <c r="EM621" s="1379" t="str">
        <f t="shared" si="20"/>
        <v/>
      </c>
      <c r="EN621" s="1380"/>
      <c r="EO621" s="1380"/>
      <c r="EP621" s="1380"/>
      <c r="EQ621" s="1381"/>
      <c r="ER621" s="1379" t="str">
        <f t="shared" si="21"/>
        <v/>
      </c>
      <c r="ES621" s="1380"/>
      <c r="ET621" s="1380"/>
      <c r="EU621" s="1380"/>
      <c r="EV621" s="1381"/>
      <c r="EW621" s="1379" t="str">
        <f t="shared" si="22"/>
        <v/>
      </c>
      <c r="EX621" s="1380"/>
      <c r="EY621" s="1380"/>
      <c r="EZ621" s="1380"/>
      <c r="FA621" s="1381"/>
    </row>
    <row r="622" spans="1:157" ht="12.95" customHeight="1">
      <c r="C622" s="2" t="s">
        <v>2409</v>
      </c>
      <c r="AZ622" s="3"/>
      <c r="BA622" s="3"/>
      <c r="BB622" s="3"/>
      <c r="BC622" s="3"/>
      <c r="BD622" s="3"/>
      <c r="BE622" s="1379">
        <f t="shared" si="1"/>
        <v>0</v>
      </c>
      <c r="BF622" s="1381"/>
      <c r="BG622" s="1504">
        <f t="shared" si="2"/>
        <v>0</v>
      </c>
      <c r="BH622" s="1505"/>
      <c r="BI622" s="1379">
        <f t="shared" si="3"/>
        <v>0</v>
      </c>
      <c r="BJ622" s="1381"/>
      <c r="BK622" s="1504">
        <f t="shared" si="4"/>
        <v>0</v>
      </c>
      <c r="BL622" s="1505"/>
      <c r="BM622" s="3"/>
      <c r="BN622" s="1385">
        <f t="shared" si="5"/>
        <v>0</v>
      </c>
      <c r="BO622" s="1386"/>
      <c r="BP622" s="1386"/>
      <c r="BQ622" s="1386"/>
      <c r="BR622" s="1387"/>
      <c r="BS622" s="1384">
        <f t="shared" si="6"/>
        <v>0</v>
      </c>
      <c r="BT622" s="1384"/>
      <c r="BU622" s="1384"/>
      <c r="BV622" s="1384"/>
      <c r="BW622" s="1384"/>
      <c r="BX622" s="1384">
        <f t="shared" si="7"/>
        <v>0</v>
      </c>
      <c r="BY622" s="1384"/>
      <c r="BZ622" s="1384"/>
      <c r="CA622" s="1384"/>
      <c r="CB622" s="1384"/>
      <c r="CC622" s="1384">
        <f t="shared" si="8"/>
        <v>0</v>
      </c>
      <c r="CD622" s="1384"/>
      <c r="CE622" s="1384"/>
      <c r="CF622" s="1384"/>
      <c r="CG622" s="1384"/>
      <c r="CH622" s="1384">
        <f t="shared" si="9"/>
        <v>0</v>
      </c>
      <c r="CI622" s="1384"/>
      <c r="CJ622" s="1384"/>
      <c r="CK622" s="1384"/>
      <c r="CL622" s="1384"/>
      <c r="CM622" s="1384">
        <f t="shared" si="10"/>
        <v>0</v>
      </c>
      <c r="CN622" s="1384"/>
      <c r="CO622" s="1384"/>
      <c r="CP622" s="1384"/>
      <c r="CQ622" s="1384"/>
      <c r="CR622" s="6"/>
      <c r="CS622" s="1383">
        <f t="shared" si="11"/>
        <v>0</v>
      </c>
      <c r="CT622" s="1383"/>
      <c r="CU622" s="1383"/>
      <c r="CV622" s="1383"/>
      <c r="CW622" s="1383"/>
      <c r="CX622" s="1383">
        <f t="shared" si="12"/>
        <v>0</v>
      </c>
      <c r="CY622" s="1383"/>
      <c r="CZ622" s="1383"/>
      <c r="DA622" s="1383"/>
      <c r="DB622" s="1383"/>
      <c r="DC622" s="1383">
        <f t="shared" si="13"/>
        <v>0</v>
      </c>
      <c r="DD622" s="1383"/>
      <c r="DE622" s="1383"/>
      <c r="DF622" s="1383"/>
      <c r="DG622" s="1383"/>
      <c r="DH622" s="1383">
        <f t="shared" si="14"/>
        <v>0</v>
      </c>
      <c r="DI622" s="1383"/>
      <c r="DJ622" s="1383"/>
      <c r="DK622" s="1383"/>
      <c r="DL622" s="1383"/>
      <c r="DM622" s="1383">
        <f t="shared" si="15"/>
        <v>0</v>
      </c>
      <c r="DN622" s="1383"/>
      <c r="DO622" s="1383"/>
      <c r="DP622" s="1383"/>
      <c r="DQ622" s="1383"/>
      <c r="DR622" s="1383">
        <f t="shared" si="16"/>
        <v>0</v>
      </c>
      <c r="DS622" s="1383"/>
      <c r="DT622" s="1383"/>
      <c r="DU622" s="1383"/>
      <c r="DV622" s="1383"/>
      <c r="DX622" s="1379" t="str">
        <f t="shared" si="17"/>
        <v/>
      </c>
      <c r="DY622" s="1380"/>
      <c r="DZ622" s="1380"/>
      <c r="EA622" s="1380"/>
      <c r="EB622" s="1381"/>
      <c r="EC622" s="1379" t="str">
        <f t="shared" si="18"/>
        <v/>
      </c>
      <c r="ED622" s="1380"/>
      <c r="EE622" s="1380"/>
      <c r="EF622" s="1380"/>
      <c r="EG622" s="1381"/>
      <c r="EH622" s="1379" t="str">
        <f t="shared" si="19"/>
        <v/>
      </c>
      <c r="EI622" s="1380"/>
      <c r="EJ622" s="1380"/>
      <c r="EK622" s="1380"/>
      <c r="EL622" s="1381"/>
      <c r="EM622" s="1379" t="str">
        <f t="shared" si="20"/>
        <v/>
      </c>
      <c r="EN622" s="1380"/>
      <c r="EO622" s="1380"/>
      <c r="EP622" s="1380"/>
      <c r="EQ622" s="1381"/>
      <c r="ER622" s="1379" t="str">
        <f t="shared" si="21"/>
        <v/>
      </c>
      <c r="ES622" s="1380"/>
      <c r="ET622" s="1380"/>
      <c r="EU622" s="1380"/>
      <c r="EV622" s="1381"/>
      <c r="EW622" s="1379" t="str">
        <f t="shared" si="22"/>
        <v/>
      </c>
      <c r="EX622" s="1380"/>
      <c r="EY622" s="1380"/>
      <c r="EZ622" s="1380"/>
      <c r="FA622" s="1381"/>
    </row>
    <row r="623" spans="1:157" ht="12.95" customHeight="1">
      <c r="B623" s="546"/>
      <c r="C623" s="2"/>
      <c r="AU623" s="3"/>
      <c r="AZ623" s="3"/>
      <c r="BA623" s="3"/>
      <c r="BB623" s="3"/>
      <c r="BC623" s="3"/>
      <c r="BD623" s="3"/>
      <c r="BE623" s="1379">
        <f t="shared" si="1"/>
        <v>0</v>
      </c>
      <c r="BF623" s="1381"/>
      <c r="BG623" s="1504">
        <f t="shared" si="2"/>
        <v>0</v>
      </c>
      <c r="BH623" s="1505"/>
      <c r="BI623" s="1379">
        <f t="shared" si="3"/>
        <v>0</v>
      </c>
      <c r="BJ623" s="1381"/>
      <c r="BK623" s="1504">
        <f t="shared" si="4"/>
        <v>0</v>
      </c>
      <c r="BL623" s="1505"/>
      <c r="BM623" s="3"/>
      <c r="BN623" s="1385">
        <f t="shared" si="5"/>
        <v>0</v>
      </c>
      <c r="BO623" s="1386"/>
      <c r="BP623" s="1386"/>
      <c r="BQ623" s="1386"/>
      <c r="BR623" s="1387"/>
      <c r="BS623" s="1384">
        <f t="shared" si="6"/>
        <v>0</v>
      </c>
      <c r="BT623" s="1384"/>
      <c r="BU623" s="1384"/>
      <c r="BV623" s="1384"/>
      <c r="BW623" s="1384"/>
      <c r="BX623" s="1384">
        <f t="shared" si="7"/>
        <v>0</v>
      </c>
      <c r="BY623" s="1384"/>
      <c r="BZ623" s="1384"/>
      <c r="CA623" s="1384"/>
      <c r="CB623" s="1384"/>
      <c r="CC623" s="1384">
        <f t="shared" si="8"/>
        <v>0</v>
      </c>
      <c r="CD623" s="1384"/>
      <c r="CE623" s="1384"/>
      <c r="CF623" s="1384"/>
      <c r="CG623" s="1384"/>
      <c r="CH623" s="1384">
        <f t="shared" si="9"/>
        <v>0</v>
      </c>
      <c r="CI623" s="1384"/>
      <c r="CJ623" s="1384"/>
      <c r="CK623" s="1384"/>
      <c r="CL623" s="1384"/>
      <c r="CM623" s="1384">
        <f t="shared" si="10"/>
        <v>0</v>
      </c>
      <c r="CN623" s="1384"/>
      <c r="CO623" s="1384"/>
      <c r="CP623" s="1384"/>
      <c r="CQ623" s="1384"/>
      <c r="CR623" s="6"/>
      <c r="CS623" s="1383">
        <f t="shared" si="11"/>
        <v>0</v>
      </c>
      <c r="CT623" s="1383"/>
      <c r="CU623" s="1383"/>
      <c r="CV623" s="1383"/>
      <c r="CW623" s="1383"/>
      <c r="CX623" s="1383">
        <f t="shared" si="12"/>
        <v>0</v>
      </c>
      <c r="CY623" s="1383"/>
      <c r="CZ623" s="1383"/>
      <c r="DA623" s="1383"/>
      <c r="DB623" s="1383"/>
      <c r="DC623" s="1383">
        <f t="shared" si="13"/>
        <v>0</v>
      </c>
      <c r="DD623" s="1383"/>
      <c r="DE623" s="1383"/>
      <c r="DF623" s="1383"/>
      <c r="DG623" s="1383"/>
      <c r="DH623" s="1383">
        <f t="shared" si="14"/>
        <v>0</v>
      </c>
      <c r="DI623" s="1383"/>
      <c r="DJ623" s="1383"/>
      <c r="DK623" s="1383"/>
      <c r="DL623" s="1383"/>
      <c r="DM623" s="1383">
        <f t="shared" si="15"/>
        <v>0</v>
      </c>
      <c r="DN623" s="1383"/>
      <c r="DO623" s="1383"/>
      <c r="DP623" s="1383"/>
      <c r="DQ623" s="1383"/>
      <c r="DR623" s="1383">
        <f t="shared" si="16"/>
        <v>0</v>
      </c>
      <c r="DS623" s="1383"/>
      <c r="DT623" s="1383"/>
      <c r="DU623" s="1383"/>
      <c r="DV623" s="1383"/>
      <c r="DX623" s="1379" t="str">
        <f t="shared" si="17"/>
        <v/>
      </c>
      <c r="DY623" s="1380"/>
      <c r="DZ623" s="1380"/>
      <c r="EA623" s="1380"/>
      <c r="EB623" s="1381"/>
      <c r="EC623" s="1379" t="str">
        <f t="shared" si="18"/>
        <v/>
      </c>
      <c r="ED623" s="1380"/>
      <c r="EE623" s="1380"/>
      <c r="EF623" s="1380"/>
      <c r="EG623" s="1381"/>
      <c r="EH623" s="1379" t="str">
        <f t="shared" si="19"/>
        <v/>
      </c>
      <c r="EI623" s="1380"/>
      <c r="EJ623" s="1380"/>
      <c r="EK623" s="1380"/>
      <c r="EL623" s="1381"/>
      <c r="EM623" s="1379" t="str">
        <f t="shared" si="20"/>
        <v/>
      </c>
      <c r="EN623" s="1380"/>
      <c r="EO623" s="1380"/>
      <c r="EP623" s="1380"/>
      <c r="EQ623" s="1381"/>
      <c r="ER623" s="1379" t="str">
        <f t="shared" si="21"/>
        <v/>
      </c>
      <c r="ES623" s="1380"/>
      <c r="ET623" s="1380"/>
      <c r="EU623" s="1380"/>
      <c r="EV623" s="1381"/>
      <c r="EW623" s="1379" t="str">
        <f t="shared" si="22"/>
        <v/>
      </c>
      <c r="EX623" s="1380"/>
      <c r="EY623" s="1380"/>
      <c r="EZ623" s="1380"/>
      <c r="FA623" s="1381"/>
    </row>
    <row r="624" spans="1:157" ht="12.95" customHeight="1">
      <c r="B624" s="1836" t="s">
        <v>2411</v>
      </c>
      <c r="C624" s="1836"/>
      <c r="D624" s="1836"/>
      <c r="E624" s="1836"/>
      <c r="F624" s="1836"/>
      <c r="G624" s="1836"/>
      <c r="H624" s="1836"/>
      <c r="I624" s="1836"/>
      <c r="J624" s="1836"/>
      <c r="K624" s="1836"/>
      <c r="L624" s="1836"/>
      <c r="M624" s="1680" t="s">
        <v>2412</v>
      </c>
      <c r="N624" s="1680"/>
      <c r="O624" s="1680"/>
      <c r="P624" s="1680"/>
      <c r="Q624" s="1680" t="s">
        <v>2038</v>
      </c>
      <c r="R624" s="1680"/>
      <c r="S624" s="1680"/>
      <c r="T624" s="1680" t="s">
        <v>2036</v>
      </c>
      <c r="U624" s="1680"/>
      <c r="V624" s="1680"/>
      <c r="W624" s="1823" t="s">
        <v>461</v>
      </c>
      <c r="X624" s="1823"/>
      <c r="Y624" s="1823"/>
      <c r="Z624" s="1403" t="s">
        <v>2441</v>
      </c>
      <c r="AA624" s="1403"/>
      <c r="AB624" s="1404"/>
      <c r="AC624" s="1814" t="s">
        <v>1859</v>
      </c>
      <c r="AD624" s="1815"/>
      <c r="AE624" s="1816"/>
      <c r="AF624" s="1402" t="s">
        <v>2220</v>
      </c>
      <c r="AG624" s="1403"/>
      <c r="AH624" s="1403"/>
      <c r="AI624" s="1403"/>
      <c r="AJ624" s="1404"/>
      <c r="AK624" s="1825" t="s">
        <v>2221</v>
      </c>
      <c r="AL624" s="1826"/>
      <c r="AM624" s="1826"/>
      <c r="AN624" s="1827"/>
      <c r="AO624" s="1680" t="s">
        <v>462</v>
      </c>
      <c r="AP624" s="1680"/>
      <c r="AQ624" s="1680"/>
      <c r="AR624" s="1680"/>
      <c r="AS624" s="1680"/>
      <c r="AU624" s="3"/>
      <c r="AZ624" s="3"/>
      <c r="BA624" s="3"/>
      <c r="BB624" s="3"/>
      <c r="BC624" s="3"/>
      <c r="BD624" s="3"/>
      <c r="BE624" s="1379">
        <f t="shared" si="1"/>
        <v>0</v>
      </c>
      <c r="BF624" s="1381"/>
      <c r="BG624" s="1504">
        <f t="shared" si="2"/>
        <v>0</v>
      </c>
      <c r="BH624" s="1505"/>
      <c r="BI624" s="1379">
        <f t="shared" si="3"/>
        <v>0</v>
      </c>
      <c r="BJ624" s="1381"/>
      <c r="BK624" s="1504">
        <f t="shared" si="4"/>
        <v>0</v>
      </c>
      <c r="BL624" s="1505"/>
      <c r="BM624" s="3"/>
      <c r="BN624" s="1385">
        <f t="shared" si="5"/>
        <v>0</v>
      </c>
      <c r="BO624" s="1386"/>
      <c r="BP624" s="1386"/>
      <c r="BQ624" s="1386"/>
      <c r="BR624" s="1387"/>
      <c r="BS624" s="1384">
        <f t="shared" si="6"/>
        <v>0</v>
      </c>
      <c r="BT624" s="1384"/>
      <c r="BU624" s="1384"/>
      <c r="BV624" s="1384"/>
      <c r="BW624" s="1384"/>
      <c r="BX624" s="1384">
        <f t="shared" si="7"/>
        <v>0</v>
      </c>
      <c r="BY624" s="1384"/>
      <c r="BZ624" s="1384"/>
      <c r="CA624" s="1384"/>
      <c r="CB624" s="1384"/>
      <c r="CC624" s="1384">
        <f t="shared" si="8"/>
        <v>0</v>
      </c>
      <c r="CD624" s="1384"/>
      <c r="CE624" s="1384"/>
      <c r="CF624" s="1384"/>
      <c r="CG624" s="1384"/>
      <c r="CH624" s="1384">
        <f t="shared" si="9"/>
        <v>0</v>
      </c>
      <c r="CI624" s="1384"/>
      <c r="CJ624" s="1384"/>
      <c r="CK624" s="1384"/>
      <c r="CL624" s="1384"/>
      <c r="CM624" s="1384">
        <f t="shared" si="10"/>
        <v>0</v>
      </c>
      <c r="CN624" s="1384"/>
      <c r="CO624" s="1384"/>
      <c r="CP624" s="1384"/>
      <c r="CQ624" s="1384"/>
      <c r="CR624" s="6"/>
      <c r="CS624" s="1383">
        <f t="shared" si="11"/>
        <v>0</v>
      </c>
      <c r="CT624" s="1383"/>
      <c r="CU624" s="1383"/>
      <c r="CV624" s="1383"/>
      <c r="CW624" s="1383"/>
      <c r="CX624" s="1383">
        <f t="shared" si="12"/>
        <v>0</v>
      </c>
      <c r="CY624" s="1383"/>
      <c r="CZ624" s="1383"/>
      <c r="DA624" s="1383"/>
      <c r="DB624" s="1383"/>
      <c r="DC624" s="1383">
        <f t="shared" si="13"/>
        <v>0</v>
      </c>
      <c r="DD624" s="1383"/>
      <c r="DE624" s="1383"/>
      <c r="DF624" s="1383"/>
      <c r="DG624" s="1383"/>
      <c r="DH624" s="1383">
        <f t="shared" si="14"/>
        <v>0</v>
      </c>
      <c r="DI624" s="1383"/>
      <c r="DJ624" s="1383"/>
      <c r="DK624" s="1383"/>
      <c r="DL624" s="1383"/>
      <c r="DM624" s="1383">
        <f t="shared" si="15"/>
        <v>0</v>
      </c>
      <c r="DN624" s="1383"/>
      <c r="DO624" s="1383"/>
      <c r="DP624" s="1383"/>
      <c r="DQ624" s="1383"/>
      <c r="DR624" s="1383">
        <f t="shared" si="16"/>
        <v>0</v>
      </c>
      <c r="DS624" s="1383"/>
      <c r="DT624" s="1383"/>
      <c r="DU624" s="1383"/>
      <c r="DV624" s="1383"/>
      <c r="DX624" s="1379" t="str">
        <f t="shared" si="17"/>
        <v/>
      </c>
      <c r="DY624" s="1380"/>
      <c r="DZ624" s="1380"/>
      <c r="EA624" s="1380"/>
      <c r="EB624" s="1381"/>
      <c r="EC624" s="1379" t="str">
        <f t="shared" si="18"/>
        <v/>
      </c>
      <c r="ED624" s="1380"/>
      <c r="EE624" s="1380"/>
      <c r="EF624" s="1380"/>
      <c r="EG624" s="1381"/>
      <c r="EH624" s="1379" t="str">
        <f t="shared" si="19"/>
        <v/>
      </c>
      <c r="EI624" s="1380"/>
      <c r="EJ624" s="1380"/>
      <c r="EK624" s="1380"/>
      <c r="EL624" s="1381"/>
      <c r="EM624" s="1379" t="str">
        <f t="shared" si="20"/>
        <v/>
      </c>
      <c r="EN624" s="1380"/>
      <c r="EO624" s="1380"/>
      <c r="EP624" s="1380"/>
      <c r="EQ624" s="1381"/>
      <c r="ER624" s="1379" t="str">
        <f t="shared" si="21"/>
        <v/>
      </c>
      <c r="ES624" s="1380"/>
      <c r="ET624" s="1380"/>
      <c r="EU624" s="1380"/>
      <c r="EV624" s="1381"/>
      <c r="EW624" s="1379" t="str">
        <f t="shared" si="22"/>
        <v/>
      </c>
      <c r="EX624" s="1380"/>
      <c r="EY624" s="1380"/>
      <c r="EZ624" s="1380"/>
      <c r="FA624" s="1381"/>
    </row>
    <row r="625" spans="2:157" ht="12.95" customHeight="1">
      <c r="B625" s="1836"/>
      <c r="C625" s="1836"/>
      <c r="D625" s="1836"/>
      <c r="E625" s="1836"/>
      <c r="F625" s="1836"/>
      <c r="G625" s="1836"/>
      <c r="H625" s="1836"/>
      <c r="I625" s="1836"/>
      <c r="J625" s="1836"/>
      <c r="K625" s="1836"/>
      <c r="L625" s="1836"/>
      <c r="M625" s="1680"/>
      <c r="N625" s="1680"/>
      <c r="O625" s="1680"/>
      <c r="P625" s="1680"/>
      <c r="Q625" s="1680"/>
      <c r="R625" s="1680"/>
      <c r="S625" s="1680"/>
      <c r="T625" s="1680"/>
      <c r="U625" s="1680"/>
      <c r="V625" s="1680"/>
      <c r="W625" s="1823"/>
      <c r="X625" s="1823"/>
      <c r="Y625" s="1823"/>
      <c r="Z625" s="1406"/>
      <c r="AA625" s="1406"/>
      <c r="AB625" s="1407"/>
      <c r="AC625" s="1817"/>
      <c r="AD625" s="1818"/>
      <c r="AE625" s="1819"/>
      <c r="AF625" s="1405"/>
      <c r="AG625" s="1406"/>
      <c r="AH625" s="1406"/>
      <c r="AI625" s="1406"/>
      <c r="AJ625" s="1407"/>
      <c r="AK625" s="1828"/>
      <c r="AL625" s="1829"/>
      <c r="AM625" s="1829"/>
      <c r="AN625" s="1830"/>
      <c r="AO625" s="1680"/>
      <c r="AP625" s="1680"/>
      <c r="AQ625" s="1680"/>
      <c r="AR625" s="1680"/>
      <c r="AS625" s="1680"/>
      <c r="AU625" s="3"/>
      <c r="AZ625" s="3"/>
      <c r="BA625" s="3"/>
      <c r="BB625" s="3"/>
      <c r="BC625" s="3"/>
      <c r="BD625" s="3"/>
      <c r="BE625" s="1379">
        <f t="shared" si="1"/>
        <v>0</v>
      </c>
      <c r="BF625" s="1381"/>
      <c r="BG625" s="1504">
        <f t="shared" si="2"/>
        <v>0</v>
      </c>
      <c r="BH625" s="1505"/>
      <c r="BI625" s="1379">
        <f t="shared" si="3"/>
        <v>0</v>
      </c>
      <c r="BJ625" s="1381"/>
      <c r="BK625" s="1504">
        <f t="shared" si="4"/>
        <v>0</v>
      </c>
      <c r="BL625" s="1505"/>
      <c r="BM625" s="3"/>
      <c r="BN625" s="1385">
        <f t="shared" si="5"/>
        <v>0</v>
      </c>
      <c r="BO625" s="1386"/>
      <c r="BP625" s="1386"/>
      <c r="BQ625" s="1386"/>
      <c r="BR625" s="1387"/>
      <c r="BS625" s="1384">
        <f t="shared" si="6"/>
        <v>0</v>
      </c>
      <c r="BT625" s="1384"/>
      <c r="BU625" s="1384"/>
      <c r="BV625" s="1384"/>
      <c r="BW625" s="1384"/>
      <c r="BX625" s="1384">
        <f t="shared" si="7"/>
        <v>0</v>
      </c>
      <c r="BY625" s="1384"/>
      <c r="BZ625" s="1384"/>
      <c r="CA625" s="1384"/>
      <c r="CB625" s="1384"/>
      <c r="CC625" s="1384">
        <f t="shared" si="8"/>
        <v>0</v>
      </c>
      <c r="CD625" s="1384"/>
      <c r="CE625" s="1384"/>
      <c r="CF625" s="1384"/>
      <c r="CG625" s="1384"/>
      <c r="CH625" s="1384">
        <f t="shared" si="9"/>
        <v>0</v>
      </c>
      <c r="CI625" s="1384"/>
      <c r="CJ625" s="1384"/>
      <c r="CK625" s="1384"/>
      <c r="CL625" s="1384"/>
      <c r="CM625" s="1384">
        <f t="shared" si="10"/>
        <v>0</v>
      </c>
      <c r="CN625" s="1384"/>
      <c r="CO625" s="1384"/>
      <c r="CP625" s="1384"/>
      <c r="CQ625" s="1384"/>
      <c r="CR625" s="6"/>
      <c r="CS625" s="1383">
        <f t="shared" si="11"/>
        <v>0</v>
      </c>
      <c r="CT625" s="1383"/>
      <c r="CU625" s="1383"/>
      <c r="CV625" s="1383"/>
      <c r="CW625" s="1383"/>
      <c r="CX625" s="1383">
        <f t="shared" si="12"/>
        <v>0</v>
      </c>
      <c r="CY625" s="1383"/>
      <c r="CZ625" s="1383"/>
      <c r="DA625" s="1383"/>
      <c r="DB625" s="1383"/>
      <c r="DC625" s="1383">
        <f t="shared" si="13"/>
        <v>0</v>
      </c>
      <c r="DD625" s="1383"/>
      <c r="DE625" s="1383"/>
      <c r="DF625" s="1383"/>
      <c r="DG625" s="1383"/>
      <c r="DH625" s="1383">
        <f t="shared" si="14"/>
        <v>0</v>
      </c>
      <c r="DI625" s="1383"/>
      <c r="DJ625" s="1383"/>
      <c r="DK625" s="1383"/>
      <c r="DL625" s="1383"/>
      <c r="DM625" s="1383">
        <f t="shared" si="15"/>
        <v>0</v>
      </c>
      <c r="DN625" s="1383"/>
      <c r="DO625" s="1383"/>
      <c r="DP625" s="1383"/>
      <c r="DQ625" s="1383"/>
      <c r="DR625" s="1383">
        <f t="shared" si="16"/>
        <v>0</v>
      </c>
      <c r="DS625" s="1383"/>
      <c r="DT625" s="1383"/>
      <c r="DU625" s="1383"/>
      <c r="DV625" s="1383"/>
      <c r="DX625" s="1379" t="str">
        <f t="shared" si="17"/>
        <v/>
      </c>
      <c r="DY625" s="1380"/>
      <c r="DZ625" s="1380"/>
      <c r="EA625" s="1380"/>
      <c r="EB625" s="1381"/>
      <c r="EC625" s="1379" t="str">
        <f t="shared" si="18"/>
        <v/>
      </c>
      <c r="ED625" s="1380"/>
      <c r="EE625" s="1380"/>
      <c r="EF625" s="1380"/>
      <c r="EG625" s="1381"/>
      <c r="EH625" s="1379" t="str">
        <f t="shared" si="19"/>
        <v/>
      </c>
      <c r="EI625" s="1380"/>
      <c r="EJ625" s="1380"/>
      <c r="EK625" s="1380"/>
      <c r="EL625" s="1381"/>
      <c r="EM625" s="1379" t="str">
        <f t="shared" si="20"/>
        <v/>
      </c>
      <c r="EN625" s="1380"/>
      <c r="EO625" s="1380"/>
      <c r="EP625" s="1380"/>
      <c r="EQ625" s="1381"/>
      <c r="ER625" s="1379" t="str">
        <f t="shared" si="21"/>
        <v/>
      </c>
      <c r="ES625" s="1380"/>
      <c r="ET625" s="1380"/>
      <c r="EU625" s="1380"/>
      <c r="EV625" s="1381"/>
      <c r="EW625" s="1379" t="str">
        <f t="shared" si="22"/>
        <v/>
      </c>
      <c r="EX625" s="1380"/>
      <c r="EY625" s="1380"/>
      <c r="EZ625" s="1380"/>
      <c r="FA625" s="1381"/>
    </row>
    <row r="626" spans="2:157" ht="12.95" customHeight="1">
      <c r="B626" s="1836"/>
      <c r="C626" s="1836"/>
      <c r="D626" s="1836"/>
      <c r="E626" s="1836"/>
      <c r="F626" s="1836"/>
      <c r="G626" s="1836"/>
      <c r="H626" s="1836"/>
      <c r="I626" s="1836"/>
      <c r="J626" s="1836"/>
      <c r="K626" s="1836"/>
      <c r="L626" s="1836"/>
      <c r="M626" s="1680"/>
      <c r="N626" s="1680"/>
      <c r="O626" s="1680"/>
      <c r="P626" s="1680"/>
      <c r="Q626" s="1680"/>
      <c r="R626" s="1680"/>
      <c r="S626" s="1680"/>
      <c r="T626" s="1680"/>
      <c r="U626" s="1680"/>
      <c r="V626" s="1680"/>
      <c r="W626" s="1823"/>
      <c r="X626" s="1823"/>
      <c r="Y626" s="1823"/>
      <c r="Z626" s="1409"/>
      <c r="AA626" s="1409"/>
      <c r="AB626" s="1410"/>
      <c r="AC626" s="1820"/>
      <c r="AD626" s="1821"/>
      <c r="AE626" s="1822"/>
      <c r="AF626" s="1408"/>
      <c r="AG626" s="1409"/>
      <c r="AH626" s="1409"/>
      <c r="AI626" s="1409"/>
      <c r="AJ626" s="1410"/>
      <c r="AK626" s="1831"/>
      <c r="AL626" s="1832"/>
      <c r="AM626" s="1832"/>
      <c r="AN626" s="1833"/>
      <c r="AO626" s="1680"/>
      <c r="AP626" s="1680"/>
      <c r="AQ626" s="1680"/>
      <c r="AR626" s="1680"/>
      <c r="AS626" s="1680"/>
      <c r="AT626" s="3"/>
      <c r="AU626" s="3"/>
      <c r="AZ626" s="3"/>
      <c r="BA626" s="3"/>
      <c r="BB626" s="3"/>
      <c r="BC626" s="3"/>
      <c r="BD626" s="3"/>
      <c r="BE626" s="1379">
        <f t="shared" si="1"/>
        <v>0</v>
      </c>
      <c r="BF626" s="1381"/>
      <c r="BG626" s="1504">
        <f t="shared" si="2"/>
        <v>0</v>
      </c>
      <c r="BH626" s="1505"/>
      <c r="BI626" s="1379">
        <f t="shared" si="3"/>
        <v>0</v>
      </c>
      <c r="BJ626" s="1381"/>
      <c r="BK626" s="1504">
        <f t="shared" si="4"/>
        <v>0</v>
      </c>
      <c r="BL626" s="1505"/>
      <c r="BM626" s="3"/>
      <c r="BN626" s="1385">
        <f t="shared" si="5"/>
        <v>0</v>
      </c>
      <c r="BO626" s="1386"/>
      <c r="BP626" s="1386"/>
      <c r="BQ626" s="1386"/>
      <c r="BR626" s="1387"/>
      <c r="BS626" s="1384">
        <f t="shared" si="6"/>
        <v>0</v>
      </c>
      <c r="BT626" s="1384"/>
      <c r="BU626" s="1384"/>
      <c r="BV626" s="1384"/>
      <c r="BW626" s="1384"/>
      <c r="BX626" s="1384">
        <f t="shared" si="7"/>
        <v>0</v>
      </c>
      <c r="BY626" s="1384"/>
      <c r="BZ626" s="1384"/>
      <c r="CA626" s="1384"/>
      <c r="CB626" s="1384"/>
      <c r="CC626" s="1384">
        <f t="shared" si="8"/>
        <v>0</v>
      </c>
      <c r="CD626" s="1384"/>
      <c r="CE626" s="1384"/>
      <c r="CF626" s="1384"/>
      <c r="CG626" s="1384"/>
      <c r="CH626" s="1384">
        <f t="shared" si="9"/>
        <v>0</v>
      </c>
      <c r="CI626" s="1384"/>
      <c r="CJ626" s="1384"/>
      <c r="CK626" s="1384"/>
      <c r="CL626" s="1384"/>
      <c r="CM626" s="1384">
        <f t="shared" si="10"/>
        <v>0</v>
      </c>
      <c r="CN626" s="1384"/>
      <c r="CO626" s="1384"/>
      <c r="CP626" s="1384"/>
      <c r="CQ626" s="1384"/>
      <c r="CR626" s="6"/>
      <c r="CS626" s="1383">
        <f t="shared" si="11"/>
        <v>0</v>
      </c>
      <c r="CT626" s="1383"/>
      <c r="CU626" s="1383"/>
      <c r="CV626" s="1383"/>
      <c r="CW626" s="1383"/>
      <c r="CX626" s="1383">
        <f t="shared" si="12"/>
        <v>0</v>
      </c>
      <c r="CY626" s="1383"/>
      <c r="CZ626" s="1383"/>
      <c r="DA626" s="1383"/>
      <c r="DB626" s="1383"/>
      <c r="DC626" s="1383">
        <f t="shared" si="13"/>
        <v>0</v>
      </c>
      <c r="DD626" s="1383"/>
      <c r="DE626" s="1383"/>
      <c r="DF626" s="1383"/>
      <c r="DG626" s="1383"/>
      <c r="DH626" s="1383">
        <f t="shared" si="14"/>
        <v>0</v>
      </c>
      <c r="DI626" s="1383"/>
      <c r="DJ626" s="1383"/>
      <c r="DK626" s="1383"/>
      <c r="DL626" s="1383"/>
      <c r="DM626" s="1383">
        <f t="shared" si="15"/>
        <v>0</v>
      </c>
      <c r="DN626" s="1383"/>
      <c r="DO626" s="1383"/>
      <c r="DP626" s="1383"/>
      <c r="DQ626" s="1383"/>
      <c r="DR626" s="1383">
        <f t="shared" si="16"/>
        <v>0</v>
      </c>
      <c r="DS626" s="1383"/>
      <c r="DT626" s="1383"/>
      <c r="DU626" s="1383"/>
      <c r="DV626" s="1383"/>
      <c r="DX626" s="1379" t="str">
        <f t="shared" si="17"/>
        <v/>
      </c>
      <c r="DY626" s="1380"/>
      <c r="DZ626" s="1380"/>
      <c r="EA626" s="1380"/>
      <c r="EB626" s="1381"/>
      <c r="EC626" s="1379" t="str">
        <f t="shared" si="18"/>
        <v/>
      </c>
      <c r="ED626" s="1380"/>
      <c r="EE626" s="1380"/>
      <c r="EF626" s="1380"/>
      <c r="EG626" s="1381"/>
      <c r="EH626" s="1379" t="str">
        <f t="shared" si="19"/>
        <v/>
      </c>
      <c r="EI626" s="1380"/>
      <c r="EJ626" s="1380"/>
      <c r="EK626" s="1380"/>
      <c r="EL626" s="1381"/>
      <c r="EM626" s="1379" t="str">
        <f t="shared" si="20"/>
        <v/>
      </c>
      <c r="EN626" s="1380"/>
      <c r="EO626" s="1380"/>
      <c r="EP626" s="1380"/>
      <c r="EQ626" s="1381"/>
      <c r="ER626" s="1379" t="str">
        <f t="shared" si="21"/>
        <v/>
      </c>
      <c r="ES626" s="1380"/>
      <c r="ET626" s="1380"/>
      <c r="EU626" s="1380"/>
      <c r="EV626" s="1381"/>
      <c r="EW626" s="1379" t="str">
        <f t="shared" si="22"/>
        <v/>
      </c>
      <c r="EX626" s="1380"/>
      <c r="EY626" s="1380"/>
      <c r="EZ626" s="1380"/>
      <c r="FA626" s="1381"/>
    </row>
    <row r="627" spans="2:157" ht="12.95" customHeight="1">
      <c r="B627" s="51" t="s">
        <v>112</v>
      </c>
      <c r="C627" s="1596" t="s">
        <v>2780</v>
      </c>
      <c r="D627" s="1596"/>
      <c r="E627" s="1596"/>
      <c r="F627" s="1596"/>
      <c r="G627" s="1596"/>
      <c r="H627" s="1596"/>
      <c r="I627" s="1596"/>
      <c r="J627" s="1596"/>
      <c r="K627" s="1596"/>
      <c r="L627" s="1596"/>
      <c r="M627" s="1579" t="s">
        <v>2428</v>
      </c>
      <c r="N627" s="1579"/>
      <c r="O627" s="1579"/>
      <c r="P627" s="1579"/>
      <c r="Q627" s="1547">
        <v>204</v>
      </c>
      <c r="R627" s="1547"/>
      <c r="S627" s="1578"/>
      <c r="T627" s="1577">
        <v>480</v>
      </c>
      <c r="U627" s="1547"/>
      <c r="V627" s="1578"/>
      <c r="W627" s="1368">
        <v>6.7099999999999993E-2</v>
      </c>
      <c r="X627" s="1369"/>
      <c r="Y627" s="1370"/>
      <c r="Z627" s="1677" t="s">
        <v>2440</v>
      </c>
      <c r="AA627" s="1678"/>
      <c r="AB627" s="1679"/>
      <c r="AC627" s="1472">
        <v>1</v>
      </c>
      <c r="AD627" s="1473"/>
      <c r="AE627" s="1474"/>
      <c r="AF627" s="1439">
        <v>1303462.4391304348</v>
      </c>
      <c r="AG627" s="1440"/>
      <c r="AH627" s="1440"/>
      <c r="AI627" s="1440"/>
      <c r="AJ627" s="1441"/>
      <c r="AK627" s="1574"/>
      <c r="AL627" s="1575"/>
      <c r="AM627" s="1575"/>
      <c r="AN627" s="1576"/>
      <c r="AO627" s="1614">
        <v>18090000</v>
      </c>
      <c r="AP627" s="1614"/>
      <c r="AQ627" s="1614"/>
      <c r="AR627" s="1614"/>
      <c r="AS627" s="1614"/>
      <c r="AT627" s="3"/>
      <c r="AU627" s="3"/>
      <c r="AZ627" s="3"/>
      <c r="BA627" s="3"/>
      <c r="BB627" s="3"/>
      <c r="BC627" s="3"/>
      <c r="BD627" s="3"/>
      <c r="BE627" s="1379">
        <f t="shared" si="1"/>
        <v>0</v>
      </c>
      <c r="BF627" s="1381"/>
      <c r="BG627" s="1504">
        <f t="shared" si="2"/>
        <v>0</v>
      </c>
      <c r="BH627" s="1505"/>
      <c r="BI627" s="1379">
        <f t="shared" si="3"/>
        <v>0</v>
      </c>
      <c r="BJ627" s="1381"/>
      <c r="BK627" s="1504">
        <f t="shared" si="4"/>
        <v>0</v>
      </c>
      <c r="BL627" s="1505"/>
      <c r="BM627" s="3"/>
      <c r="BN627" s="1385">
        <f t="shared" si="5"/>
        <v>0</v>
      </c>
      <c r="BO627" s="1386"/>
      <c r="BP627" s="1386"/>
      <c r="BQ627" s="1386"/>
      <c r="BR627" s="1387"/>
      <c r="BS627" s="1384">
        <f t="shared" si="6"/>
        <v>0</v>
      </c>
      <c r="BT627" s="1384"/>
      <c r="BU627" s="1384"/>
      <c r="BV627" s="1384"/>
      <c r="BW627" s="1384"/>
      <c r="BX627" s="1384">
        <f t="shared" si="7"/>
        <v>0</v>
      </c>
      <c r="BY627" s="1384"/>
      <c r="BZ627" s="1384"/>
      <c r="CA627" s="1384"/>
      <c r="CB627" s="1384"/>
      <c r="CC627" s="1384">
        <f t="shared" si="8"/>
        <v>0</v>
      </c>
      <c r="CD627" s="1384"/>
      <c r="CE627" s="1384"/>
      <c r="CF627" s="1384"/>
      <c r="CG627" s="1384"/>
      <c r="CH627" s="1384">
        <f t="shared" si="9"/>
        <v>0</v>
      </c>
      <c r="CI627" s="1384"/>
      <c r="CJ627" s="1384"/>
      <c r="CK627" s="1384"/>
      <c r="CL627" s="1384"/>
      <c r="CM627" s="1384">
        <f t="shared" si="10"/>
        <v>0</v>
      </c>
      <c r="CN627" s="1384"/>
      <c r="CO627" s="1384"/>
      <c r="CP627" s="1384"/>
      <c r="CQ627" s="1384"/>
      <c r="CR627" s="6"/>
      <c r="CS627" s="1383">
        <f t="shared" si="11"/>
        <v>0</v>
      </c>
      <c r="CT627" s="1383"/>
      <c r="CU627" s="1383"/>
      <c r="CV627" s="1383"/>
      <c r="CW627" s="1383"/>
      <c r="CX627" s="1383">
        <f t="shared" si="12"/>
        <v>0</v>
      </c>
      <c r="CY627" s="1383"/>
      <c r="CZ627" s="1383"/>
      <c r="DA627" s="1383"/>
      <c r="DB627" s="1383"/>
      <c r="DC627" s="1383">
        <f t="shared" si="13"/>
        <v>0</v>
      </c>
      <c r="DD627" s="1383"/>
      <c r="DE627" s="1383"/>
      <c r="DF627" s="1383"/>
      <c r="DG627" s="1383"/>
      <c r="DH627" s="1383">
        <f t="shared" si="14"/>
        <v>0</v>
      </c>
      <c r="DI627" s="1383"/>
      <c r="DJ627" s="1383"/>
      <c r="DK627" s="1383"/>
      <c r="DL627" s="1383"/>
      <c r="DM627" s="1383">
        <f t="shared" si="15"/>
        <v>0</v>
      </c>
      <c r="DN627" s="1383"/>
      <c r="DO627" s="1383"/>
      <c r="DP627" s="1383"/>
      <c r="DQ627" s="1383"/>
      <c r="DR627" s="1383">
        <f t="shared" si="16"/>
        <v>0</v>
      </c>
      <c r="DS627" s="1383"/>
      <c r="DT627" s="1383"/>
      <c r="DU627" s="1383"/>
      <c r="DV627" s="1383"/>
      <c r="DX627" s="1379" t="str">
        <f t="shared" si="17"/>
        <v/>
      </c>
      <c r="DY627" s="1380"/>
      <c r="DZ627" s="1380"/>
      <c r="EA627" s="1380"/>
      <c r="EB627" s="1381"/>
      <c r="EC627" s="1379" t="str">
        <f t="shared" si="18"/>
        <v/>
      </c>
      <c r="ED627" s="1380"/>
      <c r="EE627" s="1380"/>
      <c r="EF627" s="1380"/>
      <c r="EG627" s="1381"/>
      <c r="EH627" s="1379" t="str">
        <f t="shared" si="19"/>
        <v/>
      </c>
      <c r="EI627" s="1380"/>
      <c r="EJ627" s="1380"/>
      <c r="EK627" s="1380"/>
      <c r="EL627" s="1381"/>
      <c r="EM627" s="1379" t="str">
        <f t="shared" si="20"/>
        <v/>
      </c>
      <c r="EN627" s="1380"/>
      <c r="EO627" s="1380"/>
      <c r="EP627" s="1380"/>
      <c r="EQ627" s="1381"/>
      <c r="ER627" s="1379" t="str">
        <f t="shared" si="21"/>
        <v/>
      </c>
      <c r="ES627" s="1380"/>
      <c r="ET627" s="1380"/>
      <c r="EU627" s="1380"/>
      <c r="EV627" s="1381"/>
      <c r="EW627" s="1379" t="str">
        <f t="shared" si="22"/>
        <v/>
      </c>
      <c r="EX627" s="1380"/>
      <c r="EY627" s="1380"/>
      <c r="EZ627" s="1380"/>
      <c r="FA627" s="1381"/>
    </row>
    <row r="628" spans="2:157" ht="12.95" customHeight="1">
      <c r="B628" s="52" t="s">
        <v>113</v>
      </c>
      <c r="C628" s="1596" t="s">
        <v>2464</v>
      </c>
      <c r="D628" s="1596"/>
      <c r="E628" s="1596"/>
      <c r="F628" s="1596"/>
      <c r="G628" s="1596"/>
      <c r="H628" s="1596"/>
      <c r="I628" s="1596"/>
      <c r="J628" s="1596"/>
      <c r="K628" s="1596"/>
      <c r="L628" s="1596"/>
      <c r="M628" s="1579" t="s">
        <v>2424</v>
      </c>
      <c r="N628" s="1579"/>
      <c r="O628" s="1579"/>
      <c r="P628" s="1579"/>
      <c r="Q628" s="1577">
        <v>204</v>
      </c>
      <c r="R628" s="1547"/>
      <c r="S628" s="1578"/>
      <c r="T628" s="1577"/>
      <c r="U628" s="1547"/>
      <c r="V628" s="1578"/>
      <c r="W628" s="1368">
        <v>0.03</v>
      </c>
      <c r="X628" s="1369"/>
      <c r="Y628" s="1370"/>
      <c r="Z628" s="1677" t="s">
        <v>466</v>
      </c>
      <c r="AA628" s="1678"/>
      <c r="AB628" s="1679"/>
      <c r="AC628" s="1472">
        <v>2</v>
      </c>
      <c r="AD628" s="1473"/>
      <c r="AE628" s="1474"/>
      <c r="AF628" s="1439"/>
      <c r="AG628" s="1440"/>
      <c r="AH628" s="1440"/>
      <c r="AI628" s="1440"/>
      <c r="AJ628" s="1441"/>
      <c r="AK628" s="1574"/>
      <c r="AL628" s="1575"/>
      <c r="AM628" s="1575"/>
      <c r="AN628" s="1576"/>
      <c r="AO628" s="1571">
        <v>4000000</v>
      </c>
      <c r="AP628" s="1572"/>
      <c r="AQ628" s="1572"/>
      <c r="AR628" s="1572"/>
      <c r="AS628" s="1573"/>
      <c r="AT628" s="1189" t="str">
        <f>IF(AND(NOT(C627=""),C628="",NOT(C629="")),"!","")</f>
        <v/>
      </c>
      <c r="AU628" s="3"/>
      <c r="AZ628" s="3"/>
      <c r="BA628" s="3"/>
      <c r="BB628" s="3"/>
      <c r="BC628" s="3"/>
      <c r="BD628" s="3"/>
      <c r="BE628" s="1379">
        <f t="shared" si="1"/>
        <v>0</v>
      </c>
      <c r="BF628" s="1381"/>
      <c r="BG628" s="1504">
        <f t="shared" si="2"/>
        <v>0</v>
      </c>
      <c r="BH628" s="1505"/>
      <c r="BI628" s="1379">
        <f t="shared" si="3"/>
        <v>0</v>
      </c>
      <c r="BJ628" s="1381"/>
      <c r="BK628" s="1504">
        <f t="shared" si="4"/>
        <v>0</v>
      </c>
      <c r="BL628" s="1505"/>
      <c r="BM628" s="3"/>
      <c r="BN628" s="1385">
        <f t="shared" si="5"/>
        <v>0</v>
      </c>
      <c r="BO628" s="1386"/>
      <c r="BP628" s="1386"/>
      <c r="BQ628" s="1386"/>
      <c r="BR628" s="1387"/>
      <c r="BS628" s="1384">
        <f t="shared" si="6"/>
        <v>0</v>
      </c>
      <c r="BT628" s="1384"/>
      <c r="BU628" s="1384"/>
      <c r="BV628" s="1384"/>
      <c r="BW628" s="1384"/>
      <c r="BX628" s="1384">
        <f t="shared" si="7"/>
        <v>0</v>
      </c>
      <c r="BY628" s="1384"/>
      <c r="BZ628" s="1384"/>
      <c r="CA628" s="1384"/>
      <c r="CB628" s="1384"/>
      <c r="CC628" s="1384">
        <f t="shared" si="8"/>
        <v>0</v>
      </c>
      <c r="CD628" s="1384"/>
      <c r="CE628" s="1384"/>
      <c r="CF628" s="1384"/>
      <c r="CG628" s="1384"/>
      <c r="CH628" s="1384">
        <f t="shared" si="9"/>
        <v>0</v>
      </c>
      <c r="CI628" s="1384"/>
      <c r="CJ628" s="1384"/>
      <c r="CK628" s="1384"/>
      <c r="CL628" s="1384"/>
      <c r="CM628" s="1384">
        <f t="shared" si="10"/>
        <v>0</v>
      </c>
      <c r="CN628" s="1384"/>
      <c r="CO628" s="1384"/>
      <c r="CP628" s="1384"/>
      <c r="CQ628" s="1384"/>
      <c r="CR628" s="6"/>
      <c r="CS628" s="1383">
        <f t="shared" si="11"/>
        <v>0</v>
      </c>
      <c r="CT628" s="1383"/>
      <c r="CU628" s="1383"/>
      <c r="CV628" s="1383"/>
      <c r="CW628" s="1383"/>
      <c r="CX628" s="1383">
        <f t="shared" si="12"/>
        <v>0</v>
      </c>
      <c r="CY628" s="1383"/>
      <c r="CZ628" s="1383"/>
      <c r="DA628" s="1383"/>
      <c r="DB628" s="1383"/>
      <c r="DC628" s="1383">
        <f t="shared" si="13"/>
        <v>0</v>
      </c>
      <c r="DD628" s="1383"/>
      <c r="DE628" s="1383"/>
      <c r="DF628" s="1383"/>
      <c r="DG628" s="1383"/>
      <c r="DH628" s="1383">
        <f t="shared" si="14"/>
        <v>0</v>
      </c>
      <c r="DI628" s="1383"/>
      <c r="DJ628" s="1383"/>
      <c r="DK628" s="1383"/>
      <c r="DL628" s="1383"/>
      <c r="DM628" s="1383">
        <f t="shared" si="15"/>
        <v>0</v>
      </c>
      <c r="DN628" s="1383"/>
      <c r="DO628" s="1383"/>
      <c r="DP628" s="1383"/>
      <c r="DQ628" s="1383"/>
      <c r="DR628" s="1383">
        <f t="shared" si="16"/>
        <v>0</v>
      </c>
      <c r="DS628" s="1383"/>
      <c r="DT628" s="1383"/>
      <c r="DU628" s="1383"/>
      <c r="DV628" s="1383"/>
      <c r="DX628" s="1379" t="str">
        <f t="shared" si="17"/>
        <v/>
      </c>
      <c r="DY628" s="1380"/>
      <c r="DZ628" s="1380"/>
      <c r="EA628" s="1380"/>
      <c r="EB628" s="1381"/>
      <c r="EC628" s="1379" t="str">
        <f t="shared" si="18"/>
        <v/>
      </c>
      <c r="ED628" s="1380"/>
      <c r="EE628" s="1380"/>
      <c r="EF628" s="1380"/>
      <c r="EG628" s="1381"/>
      <c r="EH628" s="1379" t="str">
        <f t="shared" si="19"/>
        <v/>
      </c>
      <c r="EI628" s="1380"/>
      <c r="EJ628" s="1380"/>
      <c r="EK628" s="1380"/>
      <c r="EL628" s="1381"/>
      <c r="EM628" s="1379" t="str">
        <f t="shared" si="20"/>
        <v/>
      </c>
      <c r="EN628" s="1380"/>
      <c r="EO628" s="1380"/>
      <c r="EP628" s="1380"/>
      <c r="EQ628" s="1381"/>
      <c r="ER628" s="1379" t="str">
        <f t="shared" si="21"/>
        <v/>
      </c>
      <c r="ES628" s="1380"/>
      <c r="ET628" s="1380"/>
      <c r="EU628" s="1380"/>
      <c r="EV628" s="1381"/>
      <c r="EW628" s="1379" t="str">
        <f t="shared" si="22"/>
        <v/>
      </c>
      <c r="EX628" s="1380"/>
      <c r="EY628" s="1380"/>
      <c r="EZ628" s="1380"/>
      <c r="FA628" s="1381"/>
    </row>
    <row r="629" spans="2:157" ht="12.95" customHeight="1">
      <c r="B629" s="52" t="s">
        <v>119</v>
      </c>
      <c r="C629" s="1596" t="s">
        <v>1845</v>
      </c>
      <c r="D629" s="1596"/>
      <c r="E629" s="1596"/>
      <c r="F629" s="1596"/>
      <c r="G629" s="1596"/>
      <c r="H629" s="1596"/>
      <c r="I629" s="1596"/>
      <c r="J629" s="1596"/>
      <c r="K629" s="1596"/>
      <c r="L629" s="1596"/>
      <c r="M629" s="1579" t="s">
        <v>1288</v>
      </c>
      <c r="N629" s="1579"/>
      <c r="O629" s="1579"/>
      <c r="P629" s="1579"/>
      <c r="Q629" s="1577"/>
      <c r="R629" s="1547"/>
      <c r="S629" s="1578"/>
      <c r="T629" s="1577"/>
      <c r="U629" s="1547"/>
      <c r="V629" s="1578"/>
      <c r="W629" s="1368"/>
      <c r="X629" s="1369"/>
      <c r="Y629" s="1370"/>
      <c r="Z629" s="1677" t="s">
        <v>1288</v>
      </c>
      <c r="AA629" s="1678"/>
      <c r="AB629" s="1679"/>
      <c r="AC629" s="1472"/>
      <c r="AD629" s="1473"/>
      <c r="AE629" s="1474"/>
      <c r="AF629" s="1439"/>
      <c r="AG629" s="1440"/>
      <c r="AH629" s="1440"/>
      <c r="AI629" s="1440"/>
      <c r="AJ629" s="1441"/>
      <c r="AK629" s="1574"/>
      <c r="AL629" s="1575"/>
      <c r="AM629" s="1575"/>
      <c r="AN629" s="1576"/>
      <c r="AO629" s="1571">
        <v>5684853.8677059263</v>
      </c>
      <c r="AP629" s="1572"/>
      <c r="AQ629" s="1572"/>
      <c r="AR629" s="1572"/>
      <c r="AS629" s="1573"/>
      <c r="AT629" s="1189" t="str">
        <f t="shared" ref="AT629:AT638" si="23">IF(AND(NOT(C628=""),C629="",NOT(C630="")),"!","")</f>
        <v/>
      </c>
      <c r="AU629" s="3"/>
      <c r="AZ629" s="3"/>
      <c r="BA629" s="3"/>
      <c r="BB629" s="3"/>
      <c r="BC629" s="3"/>
      <c r="BD629" s="3"/>
      <c r="BE629" s="1379">
        <f t="shared" si="1"/>
        <v>0</v>
      </c>
      <c r="BF629" s="1381"/>
      <c r="BG629" s="1504">
        <f t="shared" si="2"/>
        <v>0</v>
      </c>
      <c r="BH629" s="1505"/>
      <c r="BI629" s="1379">
        <f t="shared" si="3"/>
        <v>0</v>
      </c>
      <c r="BJ629" s="1381"/>
      <c r="BK629" s="1504">
        <f t="shared" si="4"/>
        <v>0</v>
      </c>
      <c r="BL629" s="1505"/>
      <c r="BM629" s="3"/>
      <c r="BN629" s="1385">
        <f t="shared" si="5"/>
        <v>0</v>
      </c>
      <c r="BO629" s="1386"/>
      <c r="BP629" s="1386"/>
      <c r="BQ629" s="1386"/>
      <c r="BR629" s="1387"/>
      <c r="BS629" s="1384">
        <f t="shared" si="6"/>
        <v>0</v>
      </c>
      <c r="BT629" s="1384"/>
      <c r="BU629" s="1384"/>
      <c r="BV629" s="1384"/>
      <c r="BW629" s="1384"/>
      <c r="BX629" s="1384">
        <f t="shared" si="7"/>
        <v>0</v>
      </c>
      <c r="BY629" s="1384"/>
      <c r="BZ629" s="1384"/>
      <c r="CA629" s="1384"/>
      <c r="CB629" s="1384"/>
      <c r="CC629" s="1384">
        <f t="shared" si="8"/>
        <v>0</v>
      </c>
      <c r="CD629" s="1384"/>
      <c r="CE629" s="1384"/>
      <c r="CF629" s="1384"/>
      <c r="CG629" s="1384"/>
      <c r="CH629" s="1384">
        <f t="shared" si="9"/>
        <v>0</v>
      </c>
      <c r="CI629" s="1384"/>
      <c r="CJ629" s="1384"/>
      <c r="CK629" s="1384"/>
      <c r="CL629" s="1384"/>
      <c r="CM629" s="1384">
        <f t="shared" si="10"/>
        <v>0</v>
      </c>
      <c r="CN629" s="1384"/>
      <c r="CO629" s="1384"/>
      <c r="CP629" s="1384"/>
      <c r="CQ629" s="1384"/>
      <c r="CR629" s="6"/>
      <c r="CS629" s="1383">
        <f t="shared" si="11"/>
        <v>0</v>
      </c>
      <c r="CT629" s="1383"/>
      <c r="CU629" s="1383"/>
      <c r="CV629" s="1383"/>
      <c r="CW629" s="1383"/>
      <c r="CX629" s="1383">
        <f t="shared" si="12"/>
        <v>0</v>
      </c>
      <c r="CY629" s="1383"/>
      <c r="CZ629" s="1383"/>
      <c r="DA629" s="1383"/>
      <c r="DB629" s="1383"/>
      <c r="DC629" s="1383">
        <f t="shared" si="13"/>
        <v>0</v>
      </c>
      <c r="DD629" s="1383"/>
      <c r="DE629" s="1383"/>
      <c r="DF629" s="1383"/>
      <c r="DG629" s="1383"/>
      <c r="DH629" s="1383">
        <f t="shared" si="14"/>
        <v>0</v>
      </c>
      <c r="DI629" s="1383"/>
      <c r="DJ629" s="1383"/>
      <c r="DK629" s="1383"/>
      <c r="DL629" s="1383"/>
      <c r="DM629" s="1383">
        <f t="shared" si="15"/>
        <v>0</v>
      </c>
      <c r="DN629" s="1383"/>
      <c r="DO629" s="1383"/>
      <c r="DP629" s="1383"/>
      <c r="DQ629" s="1383"/>
      <c r="DR629" s="1383">
        <f t="shared" si="16"/>
        <v>0</v>
      </c>
      <c r="DS629" s="1383"/>
      <c r="DT629" s="1383"/>
      <c r="DU629" s="1383"/>
      <c r="DV629" s="1383"/>
      <c r="DX629" s="1379" t="str">
        <f t="shared" si="17"/>
        <v/>
      </c>
      <c r="DY629" s="1380"/>
      <c r="DZ629" s="1380"/>
      <c r="EA629" s="1380"/>
      <c r="EB629" s="1381"/>
      <c r="EC629" s="1379" t="str">
        <f t="shared" si="18"/>
        <v/>
      </c>
      <c r="ED629" s="1380"/>
      <c r="EE629" s="1380"/>
      <c r="EF629" s="1380"/>
      <c r="EG629" s="1381"/>
      <c r="EH629" s="1379" t="str">
        <f t="shared" si="19"/>
        <v/>
      </c>
      <c r="EI629" s="1380"/>
      <c r="EJ629" s="1380"/>
      <c r="EK629" s="1380"/>
      <c r="EL629" s="1381"/>
      <c r="EM629" s="1379" t="str">
        <f t="shared" si="20"/>
        <v/>
      </c>
      <c r="EN629" s="1380"/>
      <c r="EO629" s="1380"/>
      <c r="EP629" s="1380"/>
      <c r="EQ629" s="1381"/>
      <c r="ER629" s="1379" t="str">
        <f t="shared" si="21"/>
        <v/>
      </c>
      <c r="ES629" s="1380"/>
      <c r="ET629" s="1380"/>
      <c r="EU629" s="1380"/>
      <c r="EV629" s="1381"/>
      <c r="EW629" s="1379" t="str">
        <f t="shared" si="22"/>
        <v/>
      </c>
      <c r="EX629" s="1380"/>
      <c r="EY629" s="1380"/>
      <c r="EZ629" s="1380"/>
      <c r="FA629" s="1381"/>
    </row>
    <row r="630" spans="2:157" ht="12.95" customHeight="1">
      <c r="B630" s="52" t="s">
        <v>589</v>
      </c>
      <c r="C630" s="1675"/>
      <c r="D630" s="1675"/>
      <c r="E630" s="1675"/>
      <c r="F630" s="1675"/>
      <c r="G630" s="1675"/>
      <c r="H630" s="1675"/>
      <c r="I630" s="1675"/>
      <c r="J630" s="1675"/>
      <c r="K630" s="1675"/>
      <c r="L630" s="1675"/>
      <c r="M630" s="1579" t="s">
        <v>1288</v>
      </c>
      <c r="N630" s="1579"/>
      <c r="O630" s="1579"/>
      <c r="P630" s="1579"/>
      <c r="Q630" s="1577"/>
      <c r="R630" s="1547"/>
      <c r="S630" s="1578"/>
      <c r="T630" s="1577"/>
      <c r="U630" s="1547"/>
      <c r="V630" s="1578"/>
      <c r="W630" s="1368"/>
      <c r="X630" s="1369"/>
      <c r="Y630" s="1370"/>
      <c r="Z630" s="1677" t="s">
        <v>1288</v>
      </c>
      <c r="AA630" s="1678"/>
      <c r="AB630" s="1679"/>
      <c r="AC630" s="1472"/>
      <c r="AD630" s="1473"/>
      <c r="AE630" s="1474"/>
      <c r="AF630" s="1439"/>
      <c r="AG630" s="1440"/>
      <c r="AH630" s="1440"/>
      <c r="AI630" s="1440"/>
      <c r="AJ630" s="1441"/>
      <c r="AK630" s="1574"/>
      <c r="AL630" s="1575"/>
      <c r="AM630" s="1575"/>
      <c r="AN630" s="1576"/>
      <c r="AO630" s="1571"/>
      <c r="AP630" s="1572"/>
      <c r="AQ630" s="1572"/>
      <c r="AR630" s="1572"/>
      <c r="AS630" s="1573"/>
      <c r="AT630" s="1189" t="str">
        <f t="shared" si="23"/>
        <v/>
      </c>
      <c r="AU630" s="3"/>
      <c r="AZ630" s="3"/>
      <c r="BA630" s="3"/>
      <c r="BB630" s="3"/>
      <c r="BC630" s="3"/>
      <c r="BD630" s="3"/>
      <c r="BE630" s="1379">
        <f t="shared" si="1"/>
        <v>0</v>
      </c>
      <c r="BF630" s="1381"/>
      <c r="BG630" s="1504">
        <f t="shared" si="2"/>
        <v>0</v>
      </c>
      <c r="BH630" s="1505"/>
      <c r="BI630" s="1379">
        <f t="shared" si="3"/>
        <v>0</v>
      </c>
      <c r="BJ630" s="1381"/>
      <c r="BK630" s="1504">
        <f t="shared" si="4"/>
        <v>0</v>
      </c>
      <c r="BL630" s="1505"/>
      <c r="BM630" s="3"/>
      <c r="BN630" s="1385">
        <f t="shared" si="5"/>
        <v>0</v>
      </c>
      <c r="BO630" s="1386"/>
      <c r="BP630" s="1386"/>
      <c r="BQ630" s="1386"/>
      <c r="BR630" s="1387"/>
      <c r="BS630" s="1384">
        <f t="shared" si="6"/>
        <v>0</v>
      </c>
      <c r="BT630" s="1384"/>
      <c r="BU630" s="1384"/>
      <c r="BV630" s="1384"/>
      <c r="BW630" s="1384"/>
      <c r="BX630" s="1384">
        <f t="shared" si="7"/>
        <v>0</v>
      </c>
      <c r="BY630" s="1384"/>
      <c r="BZ630" s="1384"/>
      <c r="CA630" s="1384"/>
      <c r="CB630" s="1384"/>
      <c r="CC630" s="1384">
        <f t="shared" si="8"/>
        <v>0</v>
      </c>
      <c r="CD630" s="1384"/>
      <c r="CE630" s="1384"/>
      <c r="CF630" s="1384"/>
      <c r="CG630" s="1384"/>
      <c r="CH630" s="1384">
        <f t="shared" si="9"/>
        <v>0</v>
      </c>
      <c r="CI630" s="1384"/>
      <c r="CJ630" s="1384"/>
      <c r="CK630" s="1384"/>
      <c r="CL630" s="1384"/>
      <c r="CM630" s="1384">
        <f t="shared" si="10"/>
        <v>0</v>
      </c>
      <c r="CN630" s="1384"/>
      <c r="CO630" s="1384"/>
      <c r="CP630" s="1384"/>
      <c r="CQ630" s="1384"/>
      <c r="CR630" s="6"/>
      <c r="CS630" s="1383">
        <f t="shared" si="11"/>
        <v>0</v>
      </c>
      <c r="CT630" s="1383"/>
      <c r="CU630" s="1383"/>
      <c r="CV630" s="1383"/>
      <c r="CW630" s="1383"/>
      <c r="CX630" s="1383">
        <f t="shared" si="12"/>
        <v>0</v>
      </c>
      <c r="CY630" s="1383"/>
      <c r="CZ630" s="1383"/>
      <c r="DA630" s="1383"/>
      <c r="DB630" s="1383"/>
      <c r="DC630" s="1383">
        <f t="shared" si="13"/>
        <v>0</v>
      </c>
      <c r="DD630" s="1383"/>
      <c r="DE630" s="1383"/>
      <c r="DF630" s="1383"/>
      <c r="DG630" s="1383"/>
      <c r="DH630" s="1383">
        <f t="shared" si="14"/>
        <v>0</v>
      </c>
      <c r="DI630" s="1383"/>
      <c r="DJ630" s="1383"/>
      <c r="DK630" s="1383"/>
      <c r="DL630" s="1383"/>
      <c r="DM630" s="1383">
        <f t="shared" si="15"/>
        <v>0</v>
      </c>
      <c r="DN630" s="1383"/>
      <c r="DO630" s="1383"/>
      <c r="DP630" s="1383"/>
      <c r="DQ630" s="1383"/>
      <c r="DR630" s="1383">
        <f t="shared" si="16"/>
        <v>0</v>
      </c>
      <c r="DS630" s="1383"/>
      <c r="DT630" s="1383"/>
      <c r="DU630" s="1383"/>
      <c r="DV630" s="1383"/>
      <c r="DX630" s="1379" t="str">
        <f t="shared" si="17"/>
        <v/>
      </c>
      <c r="DY630" s="1380"/>
      <c r="DZ630" s="1380"/>
      <c r="EA630" s="1380"/>
      <c r="EB630" s="1381"/>
      <c r="EC630" s="1379" t="str">
        <f t="shared" si="18"/>
        <v/>
      </c>
      <c r="ED630" s="1380"/>
      <c r="EE630" s="1380"/>
      <c r="EF630" s="1380"/>
      <c r="EG630" s="1381"/>
      <c r="EH630" s="1379" t="str">
        <f t="shared" si="19"/>
        <v/>
      </c>
      <c r="EI630" s="1380"/>
      <c r="EJ630" s="1380"/>
      <c r="EK630" s="1380"/>
      <c r="EL630" s="1381"/>
      <c r="EM630" s="1379" t="str">
        <f t="shared" si="20"/>
        <v/>
      </c>
      <c r="EN630" s="1380"/>
      <c r="EO630" s="1380"/>
      <c r="EP630" s="1380"/>
      <c r="EQ630" s="1381"/>
      <c r="ER630" s="1379" t="str">
        <f t="shared" si="21"/>
        <v/>
      </c>
      <c r="ES630" s="1380"/>
      <c r="ET630" s="1380"/>
      <c r="EU630" s="1380"/>
      <c r="EV630" s="1381"/>
      <c r="EW630" s="1379" t="str">
        <f t="shared" si="22"/>
        <v/>
      </c>
      <c r="EX630" s="1380"/>
      <c r="EY630" s="1380"/>
      <c r="EZ630" s="1380"/>
      <c r="FA630" s="1381"/>
    </row>
    <row r="631" spans="2:157" ht="12.95" customHeight="1">
      <c r="B631" s="52" t="s">
        <v>772</v>
      </c>
      <c r="C631" s="1675"/>
      <c r="D631" s="1675"/>
      <c r="E631" s="1675"/>
      <c r="F631" s="1675"/>
      <c r="G631" s="1675"/>
      <c r="H631" s="1675"/>
      <c r="I631" s="1675"/>
      <c r="J631" s="1675"/>
      <c r="K631" s="1675"/>
      <c r="L631" s="1675"/>
      <c r="M631" s="1579" t="s">
        <v>1288</v>
      </c>
      <c r="N631" s="1579"/>
      <c r="O631" s="1579"/>
      <c r="P631" s="1579"/>
      <c r="Q631" s="1577"/>
      <c r="R631" s="1547"/>
      <c r="S631" s="1578"/>
      <c r="T631" s="1577"/>
      <c r="U631" s="1547"/>
      <c r="V631" s="1578"/>
      <c r="W631" s="1368"/>
      <c r="X631" s="1369"/>
      <c r="Y631" s="1370"/>
      <c r="Z631" s="1677" t="s">
        <v>1288</v>
      </c>
      <c r="AA631" s="1678"/>
      <c r="AB631" s="1679"/>
      <c r="AC631" s="1472"/>
      <c r="AD631" s="1473"/>
      <c r="AE631" s="1474"/>
      <c r="AF631" s="1439"/>
      <c r="AG631" s="1440"/>
      <c r="AH631" s="1440"/>
      <c r="AI631" s="1440"/>
      <c r="AJ631" s="1441"/>
      <c r="AK631" s="1574"/>
      <c r="AL631" s="1575"/>
      <c r="AM631" s="1575"/>
      <c r="AN631" s="1576"/>
      <c r="AO631" s="1571"/>
      <c r="AP631" s="1572"/>
      <c r="AQ631" s="1572"/>
      <c r="AR631" s="1572"/>
      <c r="AS631" s="1573"/>
      <c r="AT631" s="1189" t="str">
        <f t="shared" si="23"/>
        <v/>
      </c>
      <c r="AU631" s="3"/>
      <c r="AZ631" s="3"/>
      <c r="BA631" s="3"/>
      <c r="BB631" s="3"/>
      <c r="BC631" s="3"/>
      <c r="BD631" s="3"/>
      <c r="BE631" s="1379">
        <f t="shared" si="1"/>
        <v>0</v>
      </c>
      <c r="BF631" s="1381"/>
      <c r="BG631" s="1504">
        <f t="shared" si="2"/>
        <v>0</v>
      </c>
      <c r="BH631" s="1505"/>
      <c r="BI631" s="1379">
        <f t="shared" si="3"/>
        <v>0</v>
      </c>
      <c r="BJ631" s="1381"/>
      <c r="BK631" s="1504">
        <f t="shared" si="4"/>
        <v>0</v>
      </c>
      <c r="BL631" s="1505"/>
      <c r="BM631" s="3"/>
      <c r="BN631" s="1385">
        <f t="shared" si="5"/>
        <v>0</v>
      </c>
      <c r="BO631" s="1386"/>
      <c r="BP631" s="1386"/>
      <c r="BQ631" s="1386"/>
      <c r="BR631" s="1387"/>
      <c r="BS631" s="1384">
        <f t="shared" si="6"/>
        <v>0</v>
      </c>
      <c r="BT631" s="1384"/>
      <c r="BU631" s="1384"/>
      <c r="BV631" s="1384"/>
      <c r="BW631" s="1384"/>
      <c r="BX631" s="1384">
        <f t="shared" si="7"/>
        <v>0</v>
      </c>
      <c r="BY631" s="1384"/>
      <c r="BZ631" s="1384"/>
      <c r="CA631" s="1384"/>
      <c r="CB631" s="1384"/>
      <c r="CC631" s="1384">
        <f t="shared" si="8"/>
        <v>0</v>
      </c>
      <c r="CD631" s="1384"/>
      <c r="CE631" s="1384"/>
      <c r="CF631" s="1384"/>
      <c r="CG631" s="1384"/>
      <c r="CH631" s="1384">
        <f t="shared" si="9"/>
        <v>0</v>
      </c>
      <c r="CI631" s="1384"/>
      <c r="CJ631" s="1384"/>
      <c r="CK631" s="1384"/>
      <c r="CL631" s="1384"/>
      <c r="CM631" s="1384">
        <f t="shared" si="10"/>
        <v>0</v>
      </c>
      <c r="CN631" s="1384"/>
      <c r="CO631" s="1384"/>
      <c r="CP631" s="1384"/>
      <c r="CQ631" s="1384"/>
      <c r="CR631" s="6"/>
      <c r="CS631" s="1383">
        <f t="shared" si="11"/>
        <v>0</v>
      </c>
      <c r="CT631" s="1383"/>
      <c r="CU631" s="1383"/>
      <c r="CV631" s="1383"/>
      <c r="CW631" s="1383"/>
      <c r="CX631" s="1383">
        <f t="shared" si="12"/>
        <v>0</v>
      </c>
      <c r="CY631" s="1383"/>
      <c r="CZ631" s="1383"/>
      <c r="DA631" s="1383"/>
      <c r="DB631" s="1383"/>
      <c r="DC631" s="1383">
        <f t="shared" si="13"/>
        <v>0</v>
      </c>
      <c r="DD631" s="1383"/>
      <c r="DE631" s="1383"/>
      <c r="DF631" s="1383"/>
      <c r="DG631" s="1383"/>
      <c r="DH631" s="1383">
        <f t="shared" si="14"/>
        <v>0</v>
      </c>
      <c r="DI631" s="1383"/>
      <c r="DJ631" s="1383"/>
      <c r="DK631" s="1383"/>
      <c r="DL631" s="1383"/>
      <c r="DM631" s="1383">
        <f t="shared" si="15"/>
        <v>0</v>
      </c>
      <c r="DN631" s="1383"/>
      <c r="DO631" s="1383"/>
      <c r="DP631" s="1383"/>
      <c r="DQ631" s="1383"/>
      <c r="DR631" s="1383">
        <f t="shared" si="16"/>
        <v>0</v>
      </c>
      <c r="DS631" s="1383"/>
      <c r="DT631" s="1383"/>
      <c r="DU631" s="1383"/>
      <c r="DV631" s="1383"/>
      <c r="DX631" s="1379" t="str">
        <f t="shared" si="17"/>
        <v/>
      </c>
      <c r="DY631" s="1380"/>
      <c r="DZ631" s="1380"/>
      <c r="EA631" s="1380"/>
      <c r="EB631" s="1381"/>
      <c r="EC631" s="1379" t="str">
        <f t="shared" si="18"/>
        <v/>
      </c>
      <c r="ED631" s="1380"/>
      <c r="EE631" s="1380"/>
      <c r="EF631" s="1380"/>
      <c r="EG631" s="1381"/>
      <c r="EH631" s="1379" t="str">
        <f t="shared" si="19"/>
        <v/>
      </c>
      <c r="EI631" s="1380"/>
      <c r="EJ631" s="1380"/>
      <c r="EK631" s="1380"/>
      <c r="EL631" s="1381"/>
      <c r="EM631" s="1379" t="str">
        <f t="shared" si="20"/>
        <v/>
      </c>
      <c r="EN631" s="1380"/>
      <c r="EO631" s="1380"/>
      <c r="EP631" s="1380"/>
      <c r="EQ631" s="1381"/>
      <c r="ER631" s="1379" t="str">
        <f t="shared" si="21"/>
        <v/>
      </c>
      <c r="ES631" s="1380"/>
      <c r="ET631" s="1380"/>
      <c r="EU631" s="1380"/>
      <c r="EV631" s="1381"/>
      <c r="EW631" s="1379" t="str">
        <f t="shared" si="22"/>
        <v/>
      </c>
      <c r="EX631" s="1380"/>
      <c r="EY631" s="1380"/>
      <c r="EZ631" s="1380"/>
      <c r="FA631" s="1381"/>
    </row>
    <row r="632" spans="2:157" ht="12.95" customHeight="1">
      <c r="B632" s="52" t="s">
        <v>592</v>
      </c>
      <c r="C632" s="1675"/>
      <c r="D632" s="1675"/>
      <c r="E632" s="1675"/>
      <c r="F632" s="1675"/>
      <c r="G632" s="1675"/>
      <c r="H632" s="1675"/>
      <c r="I632" s="1675"/>
      <c r="J632" s="1675"/>
      <c r="K632" s="1675"/>
      <c r="L632" s="1675"/>
      <c r="M632" s="1579" t="s">
        <v>1288</v>
      </c>
      <c r="N632" s="1579"/>
      <c r="O632" s="1579"/>
      <c r="P632" s="1579"/>
      <c r="Q632" s="1577"/>
      <c r="R632" s="1547"/>
      <c r="S632" s="1578"/>
      <c r="T632" s="1577"/>
      <c r="U632" s="1547"/>
      <c r="V632" s="1578"/>
      <c r="W632" s="1368"/>
      <c r="X632" s="1369"/>
      <c r="Y632" s="1370"/>
      <c r="Z632" s="1677" t="s">
        <v>1288</v>
      </c>
      <c r="AA632" s="1678"/>
      <c r="AB632" s="1679"/>
      <c r="AC632" s="1472"/>
      <c r="AD632" s="1473"/>
      <c r="AE632" s="1474"/>
      <c r="AF632" s="1439"/>
      <c r="AG632" s="1440"/>
      <c r="AH632" s="1440"/>
      <c r="AI632" s="1440"/>
      <c r="AJ632" s="1441"/>
      <c r="AK632" s="1574"/>
      <c r="AL632" s="1575"/>
      <c r="AM632" s="1575"/>
      <c r="AN632" s="1576"/>
      <c r="AO632" s="1571"/>
      <c r="AP632" s="1572"/>
      <c r="AQ632" s="1572"/>
      <c r="AR632" s="1572"/>
      <c r="AS632" s="1573"/>
      <c r="AT632" s="1189" t="str">
        <f t="shared" si="23"/>
        <v/>
      </c>
      <c r="AU632" s="3"/>
      <c r="AZ632" s="3"/>
      <c r="BA632" s="3"/>
      <c r="BB632" s="3"/>
      <c r="BC632" s="3"/>
      <c r="BD632" s="3"/>
      <c r="BE632" s="3"/>
      <c r="BF632" s="3"/>
      <c r="BG632" s="1379">
        <f>SUM(BG597:BH631)</f>
        <v>12</v>
      </c>
      <c r="BH632" s="1381"/>
      <c r="BI632" s="3"/>
      <c r="BJ632" s="3"/>
      <c r="BK632" s="1379">
        <f>SUM(BK597:BL631)</f>
        <v>40</v>
      </c>
      <c r="BL632" s="1381"/>
      <c r="BM632" s="3"/>
      <c r="BN632" s="1379">
        <f>SUM(BN597:BR631)</f>
        <v>0</v>
      </c>
      <c r="BO632" s="1380"/>
      <c r="BP632" s="1380"/>
      <c r="BQ632" s="1380"/>
      <c r="BR632" s="1381"/>
      <c r="BS632" s="1382">
        <f>SUM(BS597:BW631)</f>
        <v>76</v>
      </c>
      <c r="BT632" s="1382"/>
      <c r="BU632" s="1382"/>
      <c r="BV632" s="1382"/>
      <c r="BW632" s="1382"/>
      <c r="BX632" s="1382">
        <f>SUM(BX597:CB631)</f>
        <v>42</v>
      </c>
      <c r="BY632" s="1382"/>
      <c r="BZ632" s="1382"/>
      <c r="CA632" s="1382"/>
      <c r="CB632" s="1382"/>
      <c r="CC632" s="1382">
        <f>SUM(CC597:CG631)</f>
        <v>40</v>
      </c>
      <c r="CD632" s="1382"/>
      <c r="CE632" s="1382"/>
      <c r="CF632" s="1382"/>
      <c r="CG632" s="1382"/>
      <c r="CH632" s="1382">
        <f>SUM(CH597:CL631)</f>
        <v>0</v>
      </c>
      <c r="CI632" s="1382"/>
      <c r="CJ632" s="1382"/>
      <c r="CK632" s="1382"/>
      <c r="CL632" s="1382"/>
      <c r="CM632" s="1382">
        <f>SUM(CM597:CQ631)</f>
        <v>0</v>
      </c>
      <c r="CN632" s="1382"/>
      <c r="CO632" s="1382"/>
      <c r="CP632" s="1382"/>
      <c r="CQ632" s="1382"/>
      <c r="CR632" s="385"/>
      <c r="CS632" s="1382">
        <f>SUM(CS597:CW631)</f>
        <v>0</v>
      </c>
      <c r="CT632" s="1382"/>
      <c r="CU632" s="1382"/>
      <c r="CV632" s="1382"/>
      <c r="CW632" s="1382"/>
      <c r="CX632" s="1382">
        <f>SUM(CX597:DB631)</f>
        <v>20</v>
      </c>
      <c r="CY632" s="1382"/>
      <c r="CZ632" s="1382"/>
      <c r="DA632" s="1382"/>
      <c r="DB632" s="1382"/>
      <c r="DC632" s="1382">
        <f>SUM(DC597:DG631)</f>
        <v>10</v>
      </c>
      <c r="DD632" s="1382"/>
      <c r="DE632" s="1382"/>
      <c r="DF632" s="1382"/>
      <c r="DG632" s="1382"/>
      <c r="DH632" s="1382">
        <f>SUM(DH597:DL631)</f>
        <v>10</v>
      </c>
      <c r="DI632" s="1382"/>
      <c r="DJ632" s="1382"/>
      <c r="DK632" s="1382"/>
      <c r="DL632" s="1382"/>
      <c r="DM632" s="1382">
        <f>SUM(DM597:DQ631)</f>
        <v>0</v>
      </c>
      <c r="DN632" s="1382"/>
      <c r="DO632" s="1382"/>
      <c r="DP632" s="1382"/>
      <c r="DQ632" s="1382"/>
      <c r="DR632" s="1382">
        <f>SUM(DR597:DV631)</f>
        <v>0</v>
      </c>
      <c r="DS632" s="1382"/>
      <c r="DT632" s="1382"/>
      <c r="DU632" s="1382"/>
      <c r="DV632" s="1382"/>
      <c r="DX632" s="1382">
        <f>SUM(DX597:EB631)</f>
        <v>0</v>
      </c>
      <c r="DY632" s="1382"/>
      <c r="DZ632" s="1382"/>
      <c r="EA632" s="1382"/>
      <c r="EB632" s="1382"/>
      <c r="EC632" s="1382">
        <f>SUM(EC597:EG631)</f>
        <v>4653</v>
      </c>
      <c r="ED632" s="1382"/>
      <c r="EE632" s="1382"/>
      <c r="EF632" s="1382"/>
      <c r="EG632" s="1382"/>
      <c r="EH632" s="1382">
        <f>SUM(EH597:EL631)</f>
        <v>5565</v>
      </c>
      <c r="EI632" s="1382"/>
      <c r="EJ632" s="1382"/>
      <c r="EK632" s="1382"/>
      <c r="EL632" s="1382"/>
      <c r="EM632" s="1382">
        <f>SUM(EM597:EQ631)</f>
        <v>6400</v>
      </c>
      <c r="EN632" s="1382"/>
      <c r="EO632" s="1382"/>
      <c r="EP632" s="1382"/>
      <c r="EQ632" s="1382"/>
      <c r="ER632" s="1382">
        <f>SUM(ER597:EV631)</f>
        <v>0</v>
      </c>
      <c r="ES632" s="1382"/>
      <c r="ET632" s="1382"/>
      <c r="EU632" s="1382"/>
      <c r="EV632" s="1382"/>
      <c r="EW632" s="1382">
        <f>SUM(EW597:FA631)</f>
        <v>0</v>
      </c>
      <c r="EX632" s="1382"/>
      <c r="EY632" s="1382"/>
      <c r="EZ632" s="1382"/>
      <c r="FA632" s="1382"/>
    </row>
    <row r="633" spans="2:157" ht="12.95" customHeight="1">
      <c r="B633" s="52" t="s">
        <v>463</v>
      </c>
      <c r="C633" s="1675"/>
      <c r="D633" s="1675"/>
      <c r="E633" s="1675"/>
      <c r="F633" s="1675"/>
      <c r="G633" s="1675"/>
      <c r="H633" s="1675"/>
      <c r="I633" s="1675"/>
      <c r="J633" s="1675"/>
      <c r="K633" s="1675"/>
      <c r="L633" s="1675"/>
      <c r="M633" s="1579" t="s">
        <v>1288</v>
      </c>
      <c r="N633" s="1579"/>
      <c r="O633" s="1579"/>
      <c r="P633" s="1579"/>
      <c r="Q633" s="1577"/>
      <c r="R633" s="1547"/>
      <c r="S633" s="1578"/>
      <c r="T633" s="1577"/>
      <c r="U633" s="1547"/>
      <c r="V633" s="1578"/>
      <c r="W633" s="1368"/>
      <c r="X633" s="1369"/>
      <c r="Y633" s="1370"/>
      <c r="Z633" s="1677" t="s">
        <v>1288</v>
      </c>
      <c r="AA633" s="1678"/>
      <c r="AB633" s="1679"/>
      <c r="AC633" s="1472"/>
      <c r="AD633" s="1473"/>
      <c r="AE633" s="1474"/>
      <c r="AF633" s="1439"/>
      <c r="AG633" s="1440"/>
      <c r="AH633" s="1440"/>
      <c r="AI633" s="1440"/>
      <c r="AJ633" s="1441"/>
      <c r="AK633" s="1574"/>
      <c r="AL633" s="1575"/>
      <c r="AM633" s="1575"/>
      <c r="AN633" s="1576"/>
      <c r="AO633" s="1571"/>
      <c r="AP633" s="1572"/>
      <c r="AQ633" s="1572"/>
      <c r="AR633" s="1572"/>
      <c r="AS633" s="1573"/>
      <c r="AT633" s="1189"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2046</v>
      </c>
      <c r="CM633" s="1379">
        <f>BN632+BS632+BX632+CC632+CH632+CM632</f>
        <v>158</v>
      </c>
      <c r="CN633" s="1380"/>
      <c r="CO633" s="1380"/>
      <c r="CP633" s="1380"/>
      <c r="CQ633" s="1381"/>
      <c r="CR633" s="385"/>
      <c r="CS633" s="3"/>
      <c r="CT633" s="3"/>
      <c r="CU633" s="3"/>
      <c r="CV633" s="3"/>
      <c r="CW633" s="3"/>
      <c r="CX633" s="3"/>
      <c r="CY633" s="3"/>
      <c r="CZ633" s="3"/>
      <c r="DA633" s="3"/>
      <c r="DB633" s="3"/>
      <c r="DC633" s="3"/>
      <c r="DD633" s="3"/>
      <c r="DE633" s="3"/>
      <c r="DF633" s="3"/>
    </row>
    <row r="634" spans="2:157" ht="12.95" customHeight="1">
      <c r="B634" s="52" t="s">
        <v>464</v>
      </c>
      <c r="C634" s="1675"/>
      <c r="D634" s="1675"/>
      <c r="E634" s="1675"/>
      <c r="F634" s="1675"/>
      <c r="G634" s="1675"/>
      <c r="H634" s="1675"/>
      <c r="I634" s="1675"/>
      <c r="J634" s="1675"/>
      <c r="K634" s="1675"/>
      <c r="L634" s="1675"/>
      <c r="M634" s="1579" t="s">
        <v>1288</v>
      </c>
      <c r="N634" s="1579"/>
      <c r="O634" s="1579"/>
      <c r="P634" s="1579"/>
      <c r="Q634" s="1577"/>
      <c r="R634" s="1547"/>
      <c r="S634" s="1578"/>
      <c r="T634" s="1577"/>
      <c r="U634" s="1547"/>
      <c r="V634" s="1578"/>
      <c r="W634" s="1368"/>
      <c r="X634" s="1369"/>
      <c r="Y634" s="1370"/>
      <c r="Z634" s="1677" t="s">
        <v>1288</v>
      </c>
      <c r="AA634" s="1678"/>
      <c r="AB634" s="1679"/>
      <c r="AC634" s="1472"/>
      <c r="AD634" s="1473"/>
      <c r="AE634" s="1474"/>
      <c r="AF634" s="1439"/>
      <c r="AG634" s="1440"/>
      <c r="AH634" s="1440"/>
      <c r="AI634" s="1440"/>
      <c r="AJ634" s="1441"/>
      <c r="AK634" s="1574"/>
      <c r="AL634" s="1575"/>
      <c r="AM634" s="1575"/>
      <c r="AN634" s="1576"/>
      <c r="AO634" s="1571"/>
      <c r="AP634" s="1572"/>
      <c r="AQ634" s="1572"/>
      <c r="AR634" s="1572"/>
      <c r="AS634" s="1573"/>
      <c r="AT634" s="1189"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76</v>
      </c>
      <c r="BX634" s="3"/>
      <c r="BY634" s="3"/>
      <c r="BZ634" s="3"/>
      <c r="CA634" s="3"/>
      <c r="CB634" s="895">
        <f>BX632*2</f>
        <v>84</v>
      </c>
      <c r="CC634" s="3"/>
      <c r="CD634" s="3"/>
      <c r="CE634" s="3"/>
      <c r="CF634" s="3"/>
      <c r="CG634" s="895">
        <f>CC632*3</f>
        <v>120</v>
      </c>
      <c r="CH634" s="3"/>
      <c r="CI634" s="3"/>
      <c r="CJ634" s="3"/>
      <c r="CK634" s="3"/>
      <c r="CL634" s="895">
        <f>CH632*4</f>
        <v>0</v>
      </c>
      <c r="CM634" s="3"/>
      <c r="CN634" s="3"/>
      <c r="CO634" s="3"/>
      <c r="CP634" s="3"/>
      <c r="CQ634" s="895">
        <f>CM632*5</f>
        <v>0</v>
      </c>
      <c r="CS634" s="895">
        <f>BR634+BW634+CB634+CG634+CL634+CQ634</f>
        <v>280</v>
      </c>
      <c r="CT634" s="57" t="s">
        <v>2048</v>
      </c>
      <c r="CU634" s="3"/>
      <c r="CV634" s="3"/>
      <c r="CW634" s="3"/>
      <c r="CX634" s="3"/>
      <c r="CY634" s="3"/>
      <c r="CZ634" s="3"/>
      <c r="DA634" s="3"/>
      <c r="DB634" s="3"/>
      <c r="DC634" s="3"/>
      <c r="DD634" s="3"/>
      <c r="DE634" s="3"/>
      <c r="DF634" s="3"/>
    </row>
    <row r="635" spans="2:157" ht="12.95" customHeight="1">
      <c r="B635" s="52" t="s">
        <v>469</v>
      </c>
      <c r="C635" s="1675"/>
      <c r="D635" s="1675"/>
      <c r="E635" s="1675"/>
      <c r="F635" s="1675"/>
      <c r="G635" s="1675"/>
      <c r="H635" s="1675"/>
      <c r="I635" s="1675"/>
      <c r="J635" s="1675"/>
      <c r="K635" s="1675"/>
      <c r="L635" s="1675"/>
      <c r="M635" s="1579" t="s">
        <v>1288</v>
      </c>
      <c r="N635" s="1579"/>
      <c r="O635" s="1579"/>
      <c r="P635" s="1579"/>
      <c r="Q635" s="1577"/>
      <c r="R635" s="1547"/>
      <c r="S635" s="1578"/>
      <c r="T635" s="1577"/>
      <c r="U635" s="1547"/>
      <c r="V635" s="1578"/>
      <c r="W635" s="1368"/>
      <c r="X635" s="1369"/>
      <c r="Y635" s="1370"/>
      <c r="Z635" s="1677" t="s">
        <v>1288</v>
      </c>
      <c r="AA635" s="1678"/>
      <c r="AB635" s="1679"/>
      <c r="AC635" s="1472"/>
      <c r="AD635" s="1473"/>
      <c r="AE635" s="1474"/>
      <c r="AF635" s="1439"/>
      <c r="AG635" s="1440"/>
      <c r="AH635" s="1440"/>
      <c r="AI635" s="1440"/>
      <c r="AJ635" s="1441"/>
      <c r="AK635" s="1574"/>
      <c r="AL635" s="1575"/>
      <c r="AM635" s="1575"/>
      <c r="AN635" s="1576"/>
      <c r="AO635" s="1571"/>
      <c r="AP635" s="1572"/>
      <c r="AQ635" s="1572"/>
      <c r="AR635" s="1572"/>
      <c r="AS635" s="1573"/>
      <c r="AT635" s="1189"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166.05263157894737</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654</v>
      </c>
      <c r="C636" s="1675"/>
      <c r="D636" s="1675"/>
      <c r="E636" s="1675"/>
      <c r="F636" s="1675"/>
      <c r="G636" s="1675"/>
      <c r="H636" s="1675"/>
      <c r="I636" s="1675"/>
      <c r="J636" s="1675"/>
      <c r="K636" s="1675"/>
      <c r="L636" s="1675"/>
      <c r="M636" s="1579" t="s">
        <v>1288</v>
      </c>
      <c r="N636" s="1579"/>
      <c r="O636" s="1579"/>
      <c r="P636" s="1579"/>
      <c r="Q636" s="1577"/>
      <c r="R636" s="1547"/>
      <c r="S636" s="1578"/>
      <c r="T636" s="1577"/>
      <c r="U636" s="1547"/>
      <c r="V636" s="1578"/>
      <c r="W636" s="1368"/>
      <c r="X636" s="1369"/>
      <c r="Y636" s="1370"/>
      <c r="Z636" s="1677" t="s">
        <v>1288</v>
      </c>
      <c r="AA636" s="1678"/>
      <c r="AB636" s="1679"/>
      <c r="AC636" s="1472"/>
      <c r="AD636" s="1473"/>
      <c r="AE636" s="1474"/>
      <c r="AF636" s="1439"/>
      <c r="AG636" s="1440"/>
      <c r="AH636" s="1440"/>
      <c r="AI636" s="1440"/>
      <c r="AJ636" s="1441"/>
      <c r="AK636" s="1574"/>
      <c r="AL636" s="1575"/>
      <c r="AM636" s="1575"/>
      <c r="AN636" s="1576"/>
      <c r="AO636" s="1571"/>
      <c r="AP636" s="1572"/>
      <c r="AQ636" s="1572"/>
      <c r="AR636" s="1572"/>
      <c r="AS636" s="1573"/>
      <c r="AT636" s="1189"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87.157894736842096</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362</v>
      </c>
      <c r="C637" s="1675"/>
      <c r="D637" s="1675"/>
      <c r="E637" s="1675"/>
      <c r="F637" s="1675"/>
      <c r="G637" s="1675"/>
      <c r="H637" s="1675"/>
      <c r="I637" s="1675"/>
      <c r="J637" s="1675"/>
      <c r="K637" s="1675"/>
      <c r="L637" s="1675"/>
      <c r="M637" s="1579" t="s">
        <v>1288</v>
      </c>
      <c r="N637" s="1579"/>
      <c r="O637" s="1579"/>
      <c r="P637" s="1579"/>
      <c r="Q637" s="1577"/>
      <c r="R637" s="1547"/>
      <c r="S637" s="1578"/>
      <c r="T637" s="1577"/>
      <c r="U637" s="1547"/>
      <c r="V637" s="1578"/>
      <c r="W637" s="1368"/>
      <c r="X637" s="1369"/>
      <c r="Y637" s="1370"/>
      <c r="Z637" s="1677" t="s">
        <v>1288</v>
      </c>
      <c r="AA637" s="1678"/>
      <c r="AB637" s="1679"/>
      <c r="AC637" s="1472"/>
      <c r="AD637" s="1473"/>
      <c r="AE637" s="1474"/>
      <c r="AF637" s="1439"/>
      <c r="AG637" s="1440"/>
      <c r="AH637" s="1440"/>
      <c r="AI637" s="1440"/>
      <c r="AJ637" s="1441"/>
      <c r="AK637" s="1574"/>
      <c r="AL637" s="1575"/>
      <c r="AM637" s="1575"/>
      <c r="AN637" s="1576"/>
      <c r="AO637" s="1571"/>
      <c r="AP637" s="1572"/>
      <c r="AQ637" s="1572"/>
      <c r="AR637" s="1572"/>
      <c r="AS637" s="1573"/>
      <c r="AT637" s="1189" t="str">
        <f t="shared" si="23"/>
        <v/>
      </c>
      <c r="AV637" s="3"/>
      <c r="AW637" s="3"/>
      <c r="AX637" s="3"/>
      <c r="AY637" s="3"/>
      <c r="AZ637" s="34"/>
      <c r="BA637" s="3" t="s">
        <v>2440</v>
      </c>
      <c r="BB637" s="34"/>
      <c r="BC637" s="34"/>
      <c r="BD637" s="34"/>
      <c r="BE637" s="34"/>
      <c r="BF637" s="34"/>
      <c r="BG637" s="34"/>
      <c r="BH637" s="34"/>
      <c r="BI637" s="34"/>
      <c r="BJ637" s="34"/>
      <c r="BK637" s="34"/>
      <c r="BL637" s="34"/>
      <c r="BM637" s="34"/>
      <c r="BN637" s="1385">
        <f>IF(J773="SRO/Studio",O773,0)</f>
        <v>0</v>
      </c>
      <c r="BO637" s="1386"/>
      <c r="BP637" s="1386"/>
      <c r="BQ637" s="1386"/>
      <c r="BR637" s="1387"/>
      <c r="BS637" s="1384">
        <f>IF(J773="1 Bedroom",O773,0)</f>
        <v>0</v>
      </c>
      <c r="BT637" s="1384"/>
      <c r="BU637" s="1384"/>
      <c r="BV637" s="1384"/>
      <c r="BW637" s="1384"/>
      <c r="BX637" s="1384">
        <f>IF(J773="2 Bedrooms",O773,0)</f>
        <v>2</v>
      </c>
      <c r="BY637" s="1384"/>
      <c r="BZ637" s="1384"/>
      <c r="CA637" s="1384"/>
      <c r="CB637" s="1384"/>
      <c r="CC637" s="1384">
        <f>IF(J773="3 Bedrooms",O773,0)</f>
        <v>0</v>
      </c>
      <c r="CD637" s="1384"/>
      <c r="CE637" s="1384"/>
      <c r="CF637" s="1384"/>
      <c r="CG637" s="1384"/>
      <c r="CH637" s="1384">
        <f>IF(J773="4 Bedrooms",O773,0)</f>
        <v>0</v>
      </c>
      <c r="CI637" s="1384"/>
      <c r="CJ637" s="1384"/>
      <c r="CK637" s="1384"/>
      <c r="CL637" s="1384"/>
      <c r="CM637" s="1384">
        <f>IF(J773="5 Bedrooms",O773,0)</f>
        <v>0</v>
      </c>
      <c r="CN637" s="1384"/>
      <c r="CO637" s="1384"/>
      <c r="CP637" s="1384"/>
      <c r="CQ637" s="1384"/>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741.07894736842115</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363</v>
      </c>
      <c r="C638" s="1675"/>
      <c r="D638" s="1675"/>
      <c r="E638" s="1675"/>
      <c r="F638" s="1675"/>
      <c r="G638" s="1675"/>
      <c r="H638" s="1675"/>
      <c r="I638" s="1675"/>
      <c r="J638" s="1675"/>
      <c r="K638" s="1675"/>
      <c r="L638" s="1675"/>
      <c r="M638" s="1579" t="s">
        <v>1288</v>
      </c>
      <c r="N638" s="1579"/>
      <c r="O638" s="1579"/>
      <c r="P638" s="1579"/>
      <c r="Q638" s="1577"/>
      <c r="R638" s="1547"/>
      <c r="S638" s="1578"/>
      <c r="T638" s="1577"/>
      <c r="U638" s="1547"/>
      <c r="V638" s="1578"/>
      <c r="W638" s="1368"/>
      <c r="X638" s="1369"/>
      <c r="Y638" s="1370"/>
      <c r="Z638" s="1677" t="s">
        <v>1288</v>
      </c>
      <c r="AA638" s="1678"/>
      <c r="AB638" s="1679"/>
      <c r="AC638" s="1472"/>
      <c r="AD638" s="1473"/>
      <c r="AE638" s="1474"/>
      <c r="AF638" s="1439"/>
      <c r="AG638" s="1440"/>
      <c r="AH638" s="1440"/>
      <c r="AI638" s="1440"/>
      <c r="AJ638" s="1441"/>
      <c r="AK638" s="1574"/>
      <c r="AL638" s="1575"/>
      <c r="AM638" s="1575"/>
      <c r="AN638" s="1576"/>
      <c r="AO638" s="1571"/>
      <c r="AP638" s="1572"/>
      <c r="AQ638" s="1572"/>
      <c r="AR638" s="1572"/>
      <c r="AS638" s="1573"/>
      <c r="AT638" s="1189" t="str">
        <f t="shared" si="23"/>
        <v/>
      </c>
      <c r="AV638" s="3"/>
      <c r="AW638" s="3"/>
      <c r="AX638" s="3"/>
      <c r="AY638" s="3"/>
      <c r="AZ638" s="34"/>
      <c r="BA638" s="3" t="s">
        <v>300</v>
      </c>
      <c r="BB638" s="34"/>
      <c r="BC638" s="34"/>
      <c r="BD638" s="34"/>
      <c r="BE638" s="34"/>
      <c r="BF638" s="34"/>
      <c r="BG638" s="34"/>
      <c r="BH638" s="34"/>
      <c r="BI638" s="34"/>
      <c r="BJ638" s="34"/>
      <c r="BK638" s="34"/>
      <c r="BL638" s="34"/>
      <c r="BM638" s="34"/>
      <c r="BN638" s="1385">
        <f>IF(J774="SRO/Studio",O774,0)</f>
        <v>0</v>
      </c>
      <c r="BO638" s="1386"/>
      <c r="BP638" s="1386"/>
      <c r="BQ638" s="1386"/>
      <c r="BR638" s="1387"/>
      <c r="BS638" s="1384">
        <f>IF(J774="1 Bedroom",O774,0)</f>
        <v>0</v>
      </c>
      <c r="BT638" s="1384"/>
      <c r="BU638" s="1384"/>
      <c r="BV638" s="1384"/>
      <c r="BW638" s="1384"/>
      <c r="BX638" s="1384">
        <f>IF(J774="2 Bedrooms",O774,0)</f>
        <v>0</v>
      </c>
      <c r="BY638" s="1384"/>
      <c r="BZ638" s="1384"/>
      <c r="CA638" s="1384"/>
      <c r="CB638" s="1384"/>
      <c r="CC638" s="1384">
        <f>IF(J774="3 Bedrooms",O774,0)</f>
        <v>0</v>
      </c>
      <c r="CD638" s="1384"/>
      <c r="CE638" s="1384"/>
      <c r="CF638" s="1384"/>
      <c r="CG638" s="1384"/>
      <c r="CH638" s="1384">
        <f>IF(J774="4 Bedrooms",O774,0)</f>
        <v>0</v>
      </c>
      <c r="CI638" s="1384"/>
      <c r="CJ638" s="1384"/>
      <c r="CK638" s="1384"/>
      <c r="CL638" s="1384"/>
      <c r="CM638" s="1384">
        <f>IF(J774="5 Bedrooms",O774,0)</f>
        <v>0</v>
      </c>
      <c r="CN638" s="1384"/>
      <c r="CO638" s="1384"/>
      <c r="CP638" s="1384"/>
      <c r="CQ638" s="1384"/>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166</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61" t="s">
        <v>128</v>
      </c>
      <c r="C639" s="1562"/>
      <c r="D639" s="1562"/>
      <c r="E639" s="1562"/>
      <c r="F639" s="1562"/>
      <c r="G639" s="1562"/>
      <c r="H639" s="1562"/>
      <c r="I639" s="1562"/>
      <c r="J639" s="1562"/>
      <c r="K639" s="1562"/>
      <c r="L639" s="1562"/>
      <c r="M639" s="1562"/>
      <c r="N639" s="1562"/>
      <c r="O639" s="1562"/>
      <c r="P639" s="1562"/>
      <c r="Q639" s="1562"/>
      <c r="R639" s="1562"/>
      <c r="S639" s="1562"/>
      <c r="T639" s="1562"/>
      <c r="U639" s="1562"/>
      <c r="V639" s="1562"/>
      <c r="W639" s="1562"/>
      <c r="X639" s="1562"/>
      <c r="Y639" s="1562"/>
      <c r="Z639" s="1562"/>
      <c r="AA639" s="1562"/>
      <c r="AB639" s="1562"/>
      <c r="AC639" s="1562"/>
      <c r="AD639" s="1562"/>
      <c r="AE639" s="1562"/>
      <c r="AF639" s="1562"/>
      <c r="AG639" s="1562"/>
      <c r="AH639" s="1562"/>
      <c r="AI639" s="1562"/>
      <c r="AJ639" s="1562"/>
      <c r="AK639" s="1562"/>
      <c r="AL639" s="1562"/>
      <c r="AM639" s="1562"/>
      <c r="AN639" s="1563"/>
      <c r="AO639" s="1582">
        <f>SUM(AO627:AR638)</f>
        <v>27774853.867705926</v>
      </c>
      <c r="AP639" s="1583"/>
      <c r="AQ639" s="1583"/>
      <c r="AR639" s="1583"/>
      <c r="AS639" s="1584"/>
      <c r="AV639" s="3"/>
      <c r="AW639" s="3"/>
      <c r="AX639" s="3"/>
      <c r="AY639" s="3"/>
      <c r="AZ639" s="34"/>
      <c r="BA639" s="34"/>
      <c r="BB639" s="34"/>
      <c r="BC639" s="34"/>
      <c r="BD639" s="34"/>
      <c r="BE639" s="34"/>
      <c r="BF639" s="34"/>
      <c r="BG639" s="34"/>
      <c r="BH639" s="34"/>
      <c r="BI639" s="34"/>
      <c r="BJ639" s="34"/>
      <c r="BK639" s="34"/>
      <c r="BL639" s="34"/>
      <c r="BM639" s="34"/>
      <c r="BN639" s="1385">
        <f>IF(J775="SRO/Studio",O775,0)</f>
        <v>0</v>
      </c>
      <c r="BO639" s="1386"/>
      <c r="BP639" s="1386"/>
      <c r="BQ639" s="1386"/>
      <c r="BR639" s="1387"/>
      <c r="BS639" s="1384">
        <f>IF(J775="1 Bedroom",O775,0)</f>
        <v>0</v>
      </c>
      <c r="BT639" s="1384"/>
      <c r="BU639" s="1384"/>
      <c r="BV639" s="1384"/>
      <c r="BW639" s="1384"/>
      <c r="BX639" s="1384">
        <f>IF(J775="2 Bedrooms",O775,0)</f>
        <v>0</v>
      </c>
      <c r="BY639" s="1384"/>
      <c r="BZ639" s="1384"/>
      <c r="CA639" s="1384"/>
      <c r="CB639" s="1384"/>
      <c r="CC639" s="1384">
        <f>IF(J775="3 Bedrooms",O775,0)</f>
        <v>0</v>
      </c>
      <c r="CD639" s="1384"/>
      <c r="CE639" s="1384"/>
      <c r="CF639" s="1384"/>
      <c r="CG639" s="1384"/>
      <c r="CH639" s="1384">
        <f>IF(J775="4 Bedrooms",O775,0)</f>
        <v>0</v>
      </c>
      <c r="CI639" s="1384"/>
      <c r="CJ639" s="1384"/>
      <c r="CK639" s="1384"/>
      <c r="CL639" s="1384"/>
      <c r="CM639" s="1384">
        <f>IF(J775="5 Bedrooms",O775,0)</f>
        <v>0</v>
      </c>
      <c r="CN639" s="1384"/>
      <c r="CO639" s="1384"/>
      <c r="CP639" s="1384"/>
      <c r="CQ639" s="1384"/>
      <c r="CR639" s="1044"/>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f t="shared" si="25"/>
        <v>179.28571428571428</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61" t="s">
        <v>267</v>
      </c>
      <c r="C640" s="1562"/>
      <c r="D640" s="1562"/>
      <c r="E640" s="1562"/>
      <c r="F640" s="1562"/>
      <c r="G640" s="1562"/>
      <c r="H640" s="1562"/>
      <c r="I640" s="1562"/>
      <c r="J640" s="1562"/>
      <c r="K640" s="1562"/>
      <c r="L640" s="1562"/>
      <c r="M640" s="1562"/>
      <c r="N640" s="1562"/>
      <c r="O640" s="1562"/>
      <c r="P640" s="1562"/>
      <c r="Q640" s="1562"/>
      <c r="R640" s="1562"/>
      <c r="S640" s="1562"/>
      <c r="T640" s="1562"/>
      <c r="U640" s="1562"/>
      <c r="V640" s="1562"/>
      <c r="W640" s="1562"/>
      <c r="X640" s="1562"/>
      <c r="Y640" s="1562"/>
      <c r="Z640" s="1562"/>
      <c r="AA640" s="1562"/>
      <c r="AB640" s="1562"/>
      <c r="AC640" s="1562"/>
      <c r="AD640" s="1562"/>
      <c r="AE640" s="1562"/>
      <c r="AF640" s="1562"/>
      <c r="AG640" s="1562"/>
      <c r="AH640" s="1562"/>
      <c r="AI640" s="1562"/>
      <c r="AJ640" s="1562"/>
      <c r="AK640" s="1562"/>
      <c r="AL640" s="1562"/>
      <c r="AM640" s="1562"/>
      <c r="AN640" s="1563"/>
      <c r="AO640" s="1571">
        <v>50969740.5</v>
      </c>
      <c r="AP640" s="1572"/>
      <c r="AQ640" s="1572"/>
      <c r="AR640" s="1572"/>
      <c r="AS640" s="1573"/>
      <c r="AV640" s="3"/>
      <c r="AW640" s="3"/>
      <c r="AX640" s="3"/>
      <c r="AY640" s="3"/>
      <c r="AZ640" s="34"/>
      <c r="BA640" s="34"/>
      <c r="BB640" s="34"/>
      <c r="BC640" s="34"/>
      <c r="BD640" s="34"/>
      <c r="BE640" s="34"/>
      <c r="BF640" s="34"/>
      <c r="BG640" s="34"/>
      <c r="BH640" s="34"/>
      <c r="BI640" s="34"/>
      <c r="BJ640" s="34"/>
      <c r="BK640" s="34"/>
      <c r="BL640" s="34"/>
      <c r="BM640" s="34"/>
      <c r="BN640" s="1385">
        <f>IF(J776="SRO/Studio",O776,0)</f>
        <v>0</v>
      </c>
      <c r="BO640" s="1386"/>
      <c r="BP640" s="1386"/>
      <c r="BQ640" s="1386"/>
      <c r="BR640" s="1387"/>
      <c r="BS640" s="1384">
        <f>IF(J776="1 Bedroom",O776,0)</f>
        <v>0</v>
      </c>
      <c r="BT640" s="1384"/>
      <c r="BU640" s="1384"/>
      <c r="BV640" s="1384"/>
      <c r="BW640" s="1384"/>
      <c r="BX640" s="1384">
        <f>IF(J776="2 Bedrooms",O776,0)</f>
        <v>0</v>
      </c>
      <c r="BY640" s="1384"/>
      <c r="BZ640" s="1384"/>
      <c r="CA640" s="1384"/>
      <c r="CB640" s="1384"/>
      <c r="CC640" s="1384">
        <f>IF(J776="3 Bedrooms",O776,0)</f>
        <v>0</v>
      </c>
      <c r="CD640" s="1384"/>
      <c r="CE640" s="1384"/>
      <c r="CF640" s="1384"/>
      <c r="CG640" s="1384"/>
      <c r="CH640" s="1384">
        <f>IF(J776="4 Bedrooms",O776,0)</f>
        <v>0</v>
      </c>
      <c r="CI640" s="1384"/>
      <c r="CJ640" s="1384"/>
      <c r="CK640" s="1384"/>
      <c r="CL640" s="1384"/>
      <c r="CM640" s="1384">
        <f>IF(J776="5 Bedrooms",O776,0)</f>
        <v>0</v>
      </c>
      <c r="CN640" s="1384"/>
      <c r="CO640" s="1384"/>
      <c r="CP640" s="1384"/>
      <c r="CQ640" s="1384"/>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94.285714285714278</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564" t="s">
        <v>268</v>
      </c>
      <c r="C641" s="1565"/>
      <c r="D641" s="1565"/>
      <c r="E641" s="1565"/>
      <c r="F641" s="1565"/>
      <c r="G641" s="1565"/>
      <c r="H641" s="1565"/>
      <c r="I641" s="1565"/>
      <c r="J641" s="1565"/>
      <c r="K641" s="1565"/>
      <c r="L641" s="1565"/>
      <c r="M641" s="1565"/>
      <c r="N641" s="1565"/>
      <c r="O641" s="1565"/>
      <c r="P641" s="1565"/>
      <c r="Q641" s="1565"/>
      <c r="R641" s="1565"/>
      <c r="S641" s="1565"/>
      <c r="T641" s="1565"/>
      <c r="U641" s="1565"/>
      <c r="V641" s="1565"/>
      <c r="W641" s="1565"/>
      <c r="X641" s="1565"/>
      <c r="Y641" s="1565"/>
      <c r="Z641" s="1565"/>
      <c r="AA641" s="1565"/>
      <c r="AB641" s="1565"/>
      <c r="AC641" s="1565"/>
      <c r="AD641" s="1565"/>
      <c r="AE641" s="1565"/>
      <c r="AF641" s="1565"/>
      <c r="AG641" s="1565"/>
      <c r="AH641" s="1565"/>
      <c r="AI641" s="1565"/>
      <c r="AJ641" s="1565"/>
      <c r="AK641" s="1565"/>
      <c r="AL641" s="1565"/>
      <c r="AM641" s="1565"/>
      <c r="AN641" s="1566"/>
      <c r="AO641" s="1582">
        <f>AO639+AO640</f>
        <v>78744594.367705926</v>
      </c>
      <c r="AP641" s="1583"/>
      <c r="AQ641" s="1583"/>
      <c r="AR641" s="1583"/>
      <c r="AS641" s="1584"/>
      <c r="AV641" s="3"/>
      <c r="AW641" s="3"/>
      <c r="AX641" s="3"/>
      <c r="AY641" s="3"/>
      <c r="AZ641" s="34"/>
      <c r="BA641" s="34"/>
      <c r="BB641" s="34"/>
      <c r="BC641" s="34"/>
      <c r="BD641" s="34"/>
      <c r="BE641" s="34"/>
      <c r="BF641" s="34"/>
      <c r="BG641" s="34"/>
      <c r="BH641" s="34"/>
      <c r="BI641" s="34"/>
      <c r="BJ641" s="34"/>
      <c r="BK641" s="34"/>
      <c r="BL641" s="34"/>
      <c r="BM641" s="34"/>
      <c r="BN641" s="1504">
        <f>SUM(BN637:BR640)</f>
        <v>0</v>
      </c>
      <c r="BO641" s="1676"/>
      <c r="BP641" s="1676"/>
      <c r="BQ641" s="1676"/>
      <c r="BR641" s="1505"/>
      <c r="BS641" s="1700">
        <f>SUM(BS637:BW640)</f>
        <v>0</v>
      </c>
      <c r="BT641" s="1701"/>
      <c r="BU641" s="1701"/>
      <c r="BV641" s="1701"/>
      <c r="BW641" s="1702"/>
      <c r="BX641" s="1700">
        <f>SUM(BX637:CB640)</f>
        <v>2</v>
      </c>
      <c r="BY641" s="1701"/>
      <c r="BZ641" s="1701"/>
      <c r="CA641" s="1701"/>
      <c r="CB641" s="1702"/>
      <c r="CC641" s="1700">
        <f>SUM(CC637:CG640)</f>
        <v>0</v>
      </c>
      <c r="CD641" s="1701"/>
      <c r="CE641" s="1701"/>
      <c r="CF641" s="1701"/>
      <c r="CG641" s="1702"/>
      <c r="CH641" s="1700">
        <f>SUM(CH637:CL640)</f>
        <v>0</v>
      </c>
      <c r="CI641" s="1701"/>
      <c r="CJ641" s="1701"/>
      <c r="CK641" s="1701"/>
      <c r="CL641" s="1702"/>
      <c r="CM641" s="1700">
        <f>SUM(CM637:CQ640)</f>
        <v>0</v>
      </c>
      <c r="CN641" s="1701"/>
      <c r="CO641" s="1701"/>
      <c r="CP641" s="1701"/>
      <c r="CQ641" s="1702"/>
      <c r="CS641" s="895">
        <f>BN641+BS641+BX641+CC641+CH641+CM641</f>
        <v>2</v>
      </c>
      <c r="CT641" s="57" t="s">
        <v>2045</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954.7619047619047</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2047</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f t="shared" si="25"/>
        <v>179.8095238095238</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471</v>
      </c>
      <c r="G643" s="1371" t="str">
        <f>C627</f>
        <v>CalHFA Perm Loan</v>
      </c>
      <c r="H643" s="1371"/>
      <c r="I643" s="1371"/>
      <c r="J643" s="1371"/>
      <c r="K643" s="1371"/>
      <c r="L643" s="1371"/>
      <c r="M643" s="1371"/>
      <c r="N643" s="1371"/>
      <c r="O643" s="1371"/>
      <c r="P643" s="1371"/>
      <c r="Q643" s="1371"/>
      <c r="R643" s="1371"/>
      <c r="S643" s="8"/>
      <c r="T643" s="55" t="s">
        <v>113</v>
      </c>
      <c r="U643" t="s">
        <v>471</v>
      </c>
      <c r="Z643" s="1371" t="str">
        <f>C628</f>
        <v>CalHFA MIP</v>
      </c>
      <c r="AA643" s="1371"/>
      <c r="AB643" s="1371"/>
      <c r="AC643" s="1371"/>
      <c r="AD643" s="1371"/>
      <c r="AE643" s="1371"/>
      <c r="AF643" s="1371"/>
      <c r="AG643" s="1371"/>
      <c r="AH643" s="1371"/>
      <c r="AI643" s="1371"/>
      <c r="AJ643" s="1371"/>
      <c r="AK643" s="137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f t="shared" si="26"/>
        <v>215.5</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360" t="s">
        <v>2732</v>
      </c>
      <c r="H644" s="1360"/>
      <c r="I644" s="1360"/>
      <c r="J644" s="1360"/>
      <c r="K644" s="1360"/>
      <c r="L644" s="1360"/>
      <c r="M644" s="1360"/>
      <c r="N644" s="1360"/>
      <c r="O644" s="1360"/>
      <c r="P644" s="1360"/>
      <c r="Q644" s="1360"/>
      <c r="R644" s="1360"/>
      <c r="S644" s="8"/>
      <c r="T644" s="22"/>
      <c r="U644" t="s">
        <v>85</v>
      </c>
      <c r="Z644" s="1360" t="s">
        <v>2732</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2052</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f t="shared" si="26"/>
        <v>113.85</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588</v>
      </c>
      <c r="G645" s="1360" t="s">
        <v>2733</v>
      </c>
      <c r="H645" s="1360"/>
      <c r="I645" s="1360"/>
      <c r="J645" s="1360"/>
      <c r="K645" s="1360"/>
      <c r="L645" s="1360"/>
      <c r="M645" s="1360"/>
      <c r="N645" s="1360"/>
      <c r="O645" s="1360"/>
      <c r="P645" s="1360"/>
      <c r="Q645" s="1360"/>
      <c r="R645" s="1360"/>
      <c r="T645" s="22"/>
      <c r="U645" t="s">
        <v>588</v>
      </c>
      <c r="Z645" s="1362" t="s">
        <v>2733</v>
      </c>
      <c r="AA645" s="1362"/>
      <c r="AB645" s="1362"/>
      <c r="AC645" s="1362"/>
      <c r="AD645" s="1362"/>
      <c r="AE645" s="1362"/>
      <c r="AF645" s="1362"/>
      <c r="AG645" s="1362"/>
      <c r="AH645" s="1362"/>
      <c r="AI645" s="1362"/>
      <c r="AJ645" s="1362"/>
      <c r="AK645" s="1362"/>
      <c r="AV645" s="3"/>
      <c r="AW645" s="3"/>
      <c r="AX645" s="3"/>
      <c r="AY645" s="3"/>
      <c r="AZ645" s="3"/>
      <c r="BA645" s="3"/>
      <c r="BB645" s="3"/>
      <c r="BC645" s="3"/>
      <c r="BD645" s="3"/>
      <c r="BE645" s="3"/>
      <c r="BF645" s="3"/>
      <c r="BG645" s="3"/>
      <c r="BH645" s="3"/>
      <c r="BI645" s="3"/>
      <c r="BJ645" s="3"/>
      <c r="BK645" s="3"/>
      <c r="BL645" s="3"/>
      <c r="BM645" s="3"/>
      <c r="BN645" s="1385">
        <f t="shared" ref="BN645:BN654" si="30">IF(J787="SRO/Studio",O787,0)</f>
        <v>0</v>
      </c>
      <c r="BO645" s="1386"/>
      <c r="BP645" s="1386"/>
      <c r="BQ645" s="1386"/>
      <c r="BR645" s="1387"/>
      <c r="BS645" s="1384">
        <f t="shared" ref="BS645:BS654" si="31">IF(J787="1 Bedroom",O787,0)</f>
        <v>0</v>
      </c>
      <c r="BT645" s="1384"/>
      <c r="BU645" s="1384"/>
      <c r="BV645" s="1384"/>
      <c r="BW645" s="1384"/>
      <c r="BX645" s="1384">
        <f t="shared" ref="BX645:BX654" si="32">IF(J787="2 Bedrooms",O787,0)</f>
        <v>0</v>
      </c>
      <c r="BY645" s="1384"/>
      <c r="BZ645" s="1384"/>
      <c r="CA645" s="1384"/>
      <c r="CB645" s="1384"/>
      <c r="CC645" s="1384">
        <f t="shared" ref="CC645:CC654" si="33">IF(J787="3 Bedrooms",O787,0)</f>
        <v>0</v>
      </c>
      <c r="CD645" s="1384"/>
      <c r="CE645" s="1384"/>
      <c r="CF645" s="1384"/>
      <c r="CG645" s="1384"/>
      <c r="CH645" s="1384">
        <f t="shared" ref="CH645:CH654" si="34">IF(J787="4 Bedrooms",O787,0)</f>
        <v>0</v>
      </c>
      <c r="CI645" s="1384"/>
      <c r="CJ645" s="1384"/>
      <c r="CK645" s="1384"/>
      <c r="CL645" s="1384"/>
      <c r="CM645" s="1384">
        <f t="shared" ref="CM645:CM654" si="35">IF(J787="5 Bedrooms",O787,0)</f>
        <v>0</v>
      </c>
      <c r="CN645" s="1384"/>
      <c r="CO645" s="1384"/>
      <c r="CP645" s="1384"/>
      <c r="CQ645" s="1384"/>
      <c r="CR645" s="6"/>
      <c r="CS645" s="1385">
        <f t="shared" ref="CS645:CS654" si="36">IF(AND(BN645&gt;=1,AH787&gt;=0.1,AH787&lt;=1),O787,0)</f>
        <v>0</v>
      </c>
      <c r="CT645" s="1386"/>
      <c r="CU645" s="1386"/>
      <c r="CV645" s="1386"/>
      <c r="CW645" s="1387"/>
      <c r="CX645" s="1385">
        <f t="shared" ref="CX645:CX654" si="37">IF(AND(BS645&gt;=1,AH787&gt;=0.1,AH787&lt;=1),O787,0)</f>
        <v>0</v>
      </c>
      <c r="CY645" s="1386"/>
      <c r="CZ645" s="1386"/>
      <c r="DA645" s="1386"/>
      <c r="DB645" s="1387"/>
      <c r="DC645" s="1385">
        <f t="shared" ref="DC645:DC654" si="38">IF(AND(BX645&gt;=1,AH787&gt;=0.1,AH787&lt;=1),O787,0)</f>
        <v>0</v>
      </c>
      <c r="DD645" s="1386"/>
      <c r="DE645" s="1386"/>
      <c r="DF645" s="1386"/>
      <c r="DG645" s="1387"/>
      <c r="DH645" s="1385">
        <f t="shared" ref="DH645:DH654" si="39">IF(AND(CC645&gt;=1,AH787&gt;=0.1,AH787&lt;=1),O787,0)</f>
        <v>0</v>
      </c>
      <c r="DI645" s="1386"/>
      <c r="DJ645" s="1386"/>
      <c r="DK645" s="1386"/>
      <c r="DL645" s="1387"/>
      <c r="DM645" s="1385">
        <f t="shared" ref="DM645:DM654" si="40">IF(AND(CH645&gt;=1,AH787&gt;=0.1,AH787&lt;=1),O787,0)</f>
        <v>0</v>
      </c>
      <c r="DN645" s="1386"/>
      <c r="DO645" s="1386"/>
      <c r="DP645" s="1386"/>
      <c r="DQ645" s="1387"/>
      <c r="DR645" s="1385">
        <f t="shared" ref="DR645:DR654" si="41">IF(AND(CM645&gt;=1,AH787&gt;=0.1,AH787&lt;=1),O787,0)</f>
        <v>0</v>
      </c>
      <c r="DS645" s="1386"/>
      <c r="DT645" s="1386"/>
      <c r="DU645" s="1386"/>
      <c r="DV645" s="1387"/>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f t="shared" si="26"/>
        <v>1061.4499999999998</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360" t="s">
        <v>2696</v>
      </c>
      <c r="H646" s="1360"/>
      <c r="I646" s="1360"/>
      <c r="J646" s="1360"/>
      <c r="K646" s="1360"/>
      <c r="L646" s="1360"/>
      <c r="M646" s="1360"/>
      <c r="N646" s="1360"/>
      <c r="O646" s="1360"/>
      <c r="P646" s="1360"/>
      <c r="Q646" s="1360"/>
      <c r="R646" s="1360"/>
      <c r="S646" s="8"/>
      <c r="T646" s="22"/>
      <c r="U646" t="s">
        <v>17</v>
      </c>
      <c r="Z646" s="1362" t="s">
        <v>2696</v>
      </c>
      <c r="AA646" s="1362"/>
      <c r="AB646" s="1362"/>
      <c r="AC646" s="1362"/>
      <c r="AD646" s="1362"/>
      <c r="AE646" s="1362"/>
      <c r="AF646" s="1362"/>
      <c r="AG646" s="1362"/>
      <c r="AH646" s="1362"/>
      <c r="AI646" s="1362"/>
      <c r="AJ646" s="1362"/>
      <c r="AK646" s="1362"/>
      <c r="AZ646" s="3"/>
      <c r="BA646" s="3"/>
      <c r="BB646" s="3"/>
      <c r="BC646" s="3"/>
      <c r="BD646" s="3"/>
      <c r="BE646" s="3"/>
      <c r="BF646" s="3"/>
      <c r="BG646" s="3"/>
      <c r="BH646" s="3"/>
      <c r="BI646" s="3"/>
      <c r="BJ646" s="3"/>
      <c r="BK646" s="3"/>
      <c r="BL646" s="3"/>
      <c r="BM646" s="3"/>
      <c r="BN646" s="1385">
        <f t="shared" si="30"/>
        <v>0</v>
      </c>
      <c r="BO646" s="1386"/>
      <c r="BP646" s="1386"/>
      <c r="BQ646" s="1386"/>
      <c r="BR646" s="1387"/>
      <c r="BS646" s="1384">
        <f t="shared" si="31"/>
        <v>0</v>
      </c>
      <c r="BT646" s="1384"/>
      <c r="BU646" s="1384"/>
      <c r="BV646" s="1384"/>
      <c r="BW646" s="1384"/>
      <c r="BX646" s="1384">
        <f t="shared" si="32"/>
        <v>0</v>
      </c>
      <c r="BY646" s="1384"/>
      <c r="BZ646" s="1384"/>
      <c r="CA646" s="1384"/>
      <c r="CB646" s="1384"/>
      <c r="CC646" s="1384">
        <f t="shared" si="33"/>
        <v>0</v>
      </c>
      <c r="CD646" s="1384"/>
      <c r="CE646" s="1384"/>
      <c r="CF646" s="1384"/>
      <c r="CG646" s="1384"/>
      <c r="CH646" s="1384">
        <f t="shared" si="34"/>
        <v>0</v>
      </c>
      <c r="CI646" s="1384"/>
      <c r="CJ646" s="1384"/>
      <c r="CK646" s="1384"/>
      <c r="CL646" s="1384"/>
      <c r="CM646" s="1384">
        <f t="shared" si="35"/>
        <v>0</v>
      </c>
      <c r="CN646" s="1384"/>
      <c r="CO646" s="1384"/>
      <c r="CP646" s="1384"/>
      <c r="CQ646" s="1384"/>
      <c r="CR646" s="6"/>
      <c r="CS646" s="1385">
        <f t="shared" si="36"/>
        <v>0</v>
      </c>
      <c r="CT646" s="1386"/>
      <c r="CU646" s="1386"/>
      <c r="CV646" s="1386"/>
      <c r="CW646" s="1387"/>
      <c r="CX646" s="1385">
        <f t="shared" si="37"/>
        <v>0</v>
      </c>
      <c r="CY646" s="1386"/>
      <c r="CZ646" s="1386"/>
      <c r="DA646" s="1386"/>
      <c r="DB646" s="1387"/>
      <c r="DC646" s="1385">
        <f t="shared" si="38"/>
        <v>0</v>
      </c>
      <c r="DD646" s="1386"/>
      <c r="DE646" s="1386"/>
      <c r="DF646" s="1386"/>
      <c r="DG646" s="1387"/>
      <c r="DH646" s="1385">
        <f t="shared" si="39"/>
        <v>0</v>
      </c>
      <c r="DI646" s="1386"/>
      <c r="DJ646" s="1386"/>
      <c r="DK646" s="1386"/>
      <c r="DL646" s="1387"/>
      <c r="DM646" s="1385">
        <f t="shared" si="40"/>
        <v>0</v>
      </c>
      <c r="DN646" s="1386"/>
      <c r="DO646" s="1386"/>
      <c r="DP646" s="1386"/>
      <c r="DQ646" s="1387"/>
      <c r="DR646" s="1385">
        <f t="shared" si="41"/>
        <v>0</v>
      </c>
      <c r="DS646" s="1386"/>
      <c r="DT646" s="1386"/>
      <c r="DU646" s="1386"/>
      <c r="DV646" s="1387"/>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f t="shared" si="26"/>
        <v>217.4</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316</v>
      </c>
      <c r="G647" s="1378" t="s">
        <v>2734</v>
      </c>
      <c r="H647" s="1378"/>
      <c r="I647" s="1378"/>
      <c r="J647" s="1378"/>
      <c r="K647" s="1378"/>
      <c r="L647" s="1378"/>
      <c r="O647" s="33" t="s">
        <v>206</v>
      </c>
      <c r="P647" s="1367"/>
      <c r="Q647" s="1367"/>
      <c r="R647" s="1367"/>
      <c r="S647" s="10"/>
      <c r="T647" s="22"/>
      <c r="U647" t="s">
        <v>316</v>
      </c>
      <c r="Z647" s="1361" t="s">
        <v>2734</v>
      </c>
      <c r="AA647" s="1361"/>
      <c r="AB647" s="1361"/>
      <c r="AC647" s="1361"/>
      <c r="AD647" s="1361"/>
      <c r="AE647" s="1361"/>
      <c r="AH647" s="33" t="s">
        <v>206</v>
      </c>
      <c r="AI647" s="1367"/>
      <c r="AJ647" s="1367"/>
      <c r="AK647" s="1367"/>
      <c r="AZ647" s="34"/>
      <c r="BA647" s="34"/>
      <c r="BB647" s="34"/>
      <c r="BC647" s="34"/>
      <c r="BD647" s="34"/>
      <c r="BE647" s="34"/>
      <c r="BF647" s="34"/>
      <c r="BG647" s="34"/>
      <c r="BH647" s="34"/>
      <c r="BI647" s="34"/>
      <c r="BJ647" s="34"/>
      <c r="BK647" s="34"/>
      <c r="BL647" s="34"/>
      <c r="BM647" s="34"/>
      <c r="BN647" s="1385">
        <f t="shared" si="30"/>
        <v>0</v>
      </c>
      <c r="BO647" s="1386"/>
      <c r="BP647" s="1386"/>
      <c r="BQ647" s="1386"/>
      <c r="BR647" s="1387"/>
      <c r="BS647" s="1384">
        <f t="shared" si="31"/>
        <v>0</v>
      </c>
      <c r="BT647" s="1384"/>
      <c r="BU647" s="1384"/>
      <c r="BV647" s="1384"/>
      <c r="BW647" s="1384"/>
      <c r="BX647" s="1384">
        <f t="shared" si="32"/>
        <v>0</v>
      </c>
      <c r="BY647" s="1384"/>
      <c r="BZ647" s="1384"/>
      <c r="CA647" s="1384"/>
      <c r="CB647" s="1384"/>
      <c r="CC647" s="1384">
        <f t="shared" si="33"/>
        <v>0</v>
      </c>
      <c r="CD647" s="1384"/>
      <c r="CE647" s="1384"/>
      <c r="CF647" s="1384"/>
      <c r="CG647" s="1384"/>
      <c r="CH647" s="1384">
        <f t="shared" si="34"/>
        <v>0</v>
      </c>
      <c r="CI647" s="1384"/>
      <c r="CJ647" s="1384"/>
      <c r="CK647" s="1384"/>
      <c r="CL647" s="1384"/>
      <c r="CM647" s="1384">
        <f t="shared" si="35"/>
        <v>0</v>
      </c>
      <c r="CN647" s="1384"/>
      <c r="CO647" s="1384"/>
      <c r="CP647" s="1384"/>
      <c r="CQ647" s="1384"/>
      <c r="CR647" s="6"/>
      <c r="CS647" s="1385">
        <f t="shared" si="36"/>
        <v>0</v>
      </c>
      <c r="CT647" s="1386"/>
      <c r="CU647" s="1386"/>
      <c r="CV647" s="1386"/>
      <c r="CW647" s="1387"/>
      <c r="CX647" s="1385">
        <f t="shared" si="37"/>
        <v>0</v>
      </c>
      <c r="CY647" s="1386"/>
      <c r="CZ647" s="1386"/>
      <c r="DA647" s="1386"/>
      <c r="DB647" s="1387"/>
      <c r="DC647" s="1385">
        <f t="shared" si="38"/>
        <v>0</v>
      </c>
      <c r="DD647" s="1386"/>
      <c r="DE647" s="1386"/>
      <c r="DF647" s="1386"/>
      <c r="DG647" s="1387"/>
      <c r="DH647" s="1385">
        <f t="shared" si="39"/>
        <v>0</v>
      </c>
      <c r="DI647" s="1386"/>
      <c r="DJ647" s="1386"/>
      <c r="DK647" s="1386"/>
      <c r="DL647" s="1387"/>
      <c r="DM647" s="1385">
        <f t="shared" si="40"/>
        <v>0</v>
      </c>
      <c r="DN647" s="1386"/>
      <c r="DO647" s="1386"/>
      <c r="DP647" s="1386"/>
      <c r="DQ647" s="1387"/>
      <c r="DR647" s="1385">
        <f t="shared" si="41"/>
        <v>0</v>
      </c>
      <c r="DS647" s="1386"/>
      <c r="DT647" s="1386"/>
      <c r="DU647" s="1386"/>
      <c r="DV647" s="1387"/>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531" t="s">
        <v>2778</v>
      </c>
      <c r="I648" s="1360"/>
      <c r="J648" s="1360"/>
      <c r="K648" s="1360"/>
      <c r="L648" s="1360"/>
      <c r="M648" s="1360"/>
      <c r="N648" s="1360"/>
      <c r="O648" s="1360"/>
      <c r="P648" s="1360"/>
      <c r="Q648" s="1360"/>
      <c r="R648" s="1360"/>
      <c r="S648" s="8"/>
      <c r="T648" s="22"/>
      <c r="U648" t="s">
        <v>18</v>
      </c>
      <c r="AA648" s="1360" t="s">
        <v>2424</v>
      </c>
      <c r="AB648" s="1360"/>
      <c r="AC648" s="1360"/>
      <c r="AD648" s="1360"/>
      <c r="AE648" s="1360"/>
      <c r="AF648" s="1360"/>
      <c r="AG648" s="1360"/>
      <c r="AH648" s="1360"/>
      <c r="AI648" s="1360"/>
      <c r="AJ648" s="1360"/>
      <c r="AK648" s="1360"/>
      <c r="AZ648" s="34"/>
      <c r="BA648" s="34"/>
      <c r="BB648" s="34"/>
      <c r="BC648" s="34"/>
      <c r="BD648" s="34"/>
      <c r="BE648" s="34"/>
      <c r="BF648" s="34"/>
      <c r="BG648" s="34"/>
      <c r="BH648" s="34"/>
      <c r="BI648" s="34"/>
      <c r="BJ648" s="34"/>
      <c r="BK648" s="34"/>
      <c r="BL648" s="34"/>
      <c r="BM648" s="34"/>
      <c r="BN648" s="1385">
        <f t="shared" si="30"/>
        <v>0</v>
      </c>
      <c r="BO648" s="1386"/>
      <c r="BP648" s="1386"/>
      <c r="BQ648" s="1386"/>
      <c r="BR648" s="1387"/>
      <c r="BS648" s="1384">
        <f t="shared" si="31"/>
        <v>0</v>
      </c>
      <c r="BT648" s="1384"/>
      <c r="BU648" s="1384"/>
      <c r="BV648" s="1384"/>
      <c r="BW648" s="1384"/>
      <c r="BX648" s="1384">
        <f t="shared" si="32"/>
        <v>0</v>
      </c>
      <c r="BY648" s="1384"/>
      <c r="BZ648" s="1384"/>
      <c r="CA648" s="1384"/>
      <c r="CB648" s="1384"/>
      <c r="CC648" s="1384">
        <f t="shared" si="33"/>
        <v>0</v>
      </c>
      <c r="CD648" s="1384"/>
      <c r="CE648" s="1384"/>
      <c r="CF648" s="1384"/>
      <c r="CG648" s="1384"/>
      <c r="CH648" s="1384">
        <f t="shared" si="34"/>
        <v>0</v>
      </c>
      <c r="CI648" s="1384"/>
      <c r="CJ648" s="1384"/>
      <c r="CK648" s="1384"/>
      <c r="CL648" s="1384"/>
      <c r="CM648" s="1384">
        <f t="shared" si="35"/>
        <v>0</v>
      </c>
      <c r="CN648" s="1384"/>
      <c r="CO648" s="1384"/>
      <c r="CP648" s="1384"/>
      <c r="CQ648" s="1384"/>
      <c r="CR648" s="6"/>
      <c r="CS648" s="1385">
        <f t="shared" si="36"/>
        <v>0</v>
      </c>
      <c r="CT648" s="1386"/>
      <c r="CU648" s="1386"/>
      <c r="CV648" s="1386"/>
      <c r="CW648" s="1387"/>
      <c r="CX648" s="1385">
        <f t="shared" si="37"/>
        <v>0</v>
      </c>
      <c r="CY648" s="1386"/>
      <c r="CZ648" s="1386"/>
      <c r="DA648" s="1386"/>
      <c r="DB648" s="1387"/>
      <c r="DC648" s="1385">
        <f t="shared" si="38"/>
        <v>0</v>
      </c>
      <c r="DD648" s="1386"/>
      <c r="DE648" s="1386"/>
      <c r="DF648" s="1386"/>
      <c r="DG648" s="1387"/>
      <c r="DH648" s="1385">
        <f t="shared" si="39"/>
        <v>0</v>
      </c>
      <c r="DI648" s="1386"/>
      <c r="DJ648" s="1386"/>
      <c r="DK648" s="1386"/>
      <c r="DL648" s="1387"/>
      <c r="DM648" s="1385">
        <f t="shared" si="40"/>
        <v>0</v>
      </c>
      <c r="DN648" s="1386"/>
      <c r="DO648" s="1386"/>
      <c r="DP648" s="1386"/>
      <c r="DQ648" s="1387"/>
      <c r="DR648" s="1385">
        <f t="shared" si="41"/>
        <v>0</v>
      </c>
      <c r="DS648" s="1386"/>
      <c r="DT648" s="1386"/>
      <c r="DU648" s="1386"/>
      <c r="DV648" s="1387"/>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66" t="s">
        <v>553</v>
      </c>
      <c r="O649" s="1366"/>
      <c r="T649" s="22"/>
      <c r="U649" t="s">
        <v>20</v>
      </c>
      <c r="AG649" s="1366" t="s">
        <v>553</v>
      </c>
      <c r="AH649" s="1366"/>
      <c r="AZ649" s="34"/>
      <c r="BA649" s="34"/>
      <c r="BB649" s="34"/>
      <c r="BC649" s="34"/>
      <c r="BD649" s="34"/>
      <c r="BE649" s="34"/>
      <c r="BF649" s="34"/>
      <c r="BG649" s="34"/>
      <c r="BH649" s="34"/>
      <c r="BI649" s="34"/>
      <c r="BJ649" s="34"/>
      <c r="BK649" s="34"/>
      <c r="BL649" s="34"/>
      <c r="BM649" s="34"/>
      <c r="BN649" s="1385">
        <f t="shared" si="30"/>
        <v>0</v>
      </c>
      <c r="BO649" s="1386"/>
      <c r="BP649" s="1386"/>
      <c r="BQ649" s="1386"/>
      <c r="BR649" s="1387"/>
      <c r="BS649" s="1384">
        <f t="shared" si="31"/>
        <v>0</v>
      </c>
      <c r="BT649" s="1384"/>
      <c r="BU649" s="1384"/>
      <c r="BV649" s="1384"/>
      <c r="BW649" s="1384"/>
      <c r="BX649" s="1384">
        <f t="shared" si="32"/>
        <v>0</v>
      </c>
      <c r="BY649" s="1384"/>
      <c r="BZ649" s="1384"/>
      <c r="CA649" s="1384"/>
      <c r="CB649" s="1384"/>
      <c r="CC649" s="1384">
        <f t="shared" si="33"/>
        <v>0</v>
      </c>
      <c r="CD649" s="1384"/>
      <c r="CE649" s="1384"/>
      <c r="CF649" s="1384"/>
      <c r="CG649" s="1384"/>
      <c r="CH649" s="1384">
        <f t="shared" si="34"/>
        <v>0</v>
      </c>
      <c r="CI649" s="1384"/>
      <c r="CJ649" s="1384"/>
      <c r="CK649" s="1384"/>
      <c r="CL649" s="1384"/>
      <c r="CM649" s="1384">
        <f t="shared" si="35"/>
        <v>0</v>
      </c>
      <c r="CN649" s="1384"/>
      <c r="CO649" s="1384"/>
      <c r="CP649" s="1384"/>
      <c r="CQ649" s="1384"/>
      <c r="CR649" s="6"/>
      <c r="CS649" s="1385">
        <f t="shared" si="36"/>
        <v>0</v>
      </c>
      <c r="CT649" s="1386"/>
      <c r="CU649" s="1386"/>
      <c r="CV649" s="1386"/>
      <c r="CW649" s="1387"/>
      <c r="CX649" s="1385">
        <f t="shared" si="37"/>
        <v>0</v>
      </c>
      <c r="CY649" s="1386"/>
      <c r="CZ649" s="1386"/>
      <c r="DA649" s="1386"/>
      <c r="DB649" s="1387"/>
      <c r="DC649" s="1385">
        <f t="shared" si="38"/>
        <v>0</v>
      </c>
      <c r="DD649" s="1386"/>
      <c r="DE649" s="1386"/>
      <c r="DF649" s="1386"/>
      <c r="DG649" s="1387"/>
      <c r="DH649" s="1385">
        <f t="shared" si="39"/>
        <v>0</v>
      </c>
      <c r="DI649" s="1386"/>
      <c r="DJ649" s="1386"/>
      <c r="DK649" s="1386"/>
      <c r="DL649" s="1387"/>
      <c r="DM649" s="1385">
        <f t="shared" si="40"/>
        <v>0</v>
      </c>
      <c r="DN649" s="1386"/>
      <c r="DO649" s="1386"/>
      <c r="DP649" s="1386"/>
      <c r="DQ649" s="1387"/>
      <c r="DR649" s="1385">
        <f t="shared" si="41"/>
        <v>0</v>
      </c>
      <c r="DS649" s="1386"/>
      <c r="DT649" s="1386"/>
      <c r="DU649" s="1386"/>
      <c r="DV649" s="1387"/>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85">
        <f t="shared" si="30"/>
        <v>0</v>
      </c>
      <c r="BO650" s="1386"/>
      <c r="BP650" s="1386"/>
      <c r="BQ650" s="1386"/>
      <c r="BR650" s="1387"/>
      <c r="BS650" s="1384">
        <f t="shared" si="31"/>
        <v>0</v>
      </c>
      <c r="BT650" s="1384"/>
      <c r="BU650" s="1384"/>
      <c r="BV650" s="1384"/>
      <c r="BW650" s="1384"/>
      <c r="BX650" s="1384">
        <f t="shared" si="32"/>
        <v>0</v>
      </c>
      <c r="BY650" s="1384"/>
      <c r="BZ650" s="1384"/>
      <c r="CA650" s="1384"/>
      <c r="CB650" s="1384"/>
      <c r="CC650" s="1384">
        <f t="shared" si="33"/>
        <v>0</v>
      </c>
      <c r="CD650" s="1384"/>
      <c r="CE650" s="1384"/>
      <c r="CF650" s="1384"/>
      <c r="CG650" s="1384"/>
      <c r="CH650" s="1384">
        <f t="shared" si="34"/>
        <v>0</v>
      </c>
      <c r="CI650" s="1384"/>
      <c r="CJ650" s="1384"/>
      <c r="CK650" s="1384"/>
      <c r="CL650" s="1384"/>
      <c r="CM650" s="1384">
        <f t="shared" si="35"/>
        <v>0</v>
      </c>
      <c r="CN650" s="1384"/>
      <c r="CO650" s="1384"/>
      <c r="CP650" s="1384"/>
      <c r="CQ650" s="1384"/>
      <c r="CR650" s="6"/>
      <c r="CS650" s="1385">
        <f t="shared" si="36"/>
        <v>0</v>
      </c>
      <c r="CT650" s="1386"/>
      <c r="CU650" s="1386"/>
      <c r="CV650" s="1386"/>
      <c r="CW650" s="1387"/>
      <c r="CX650" s="1385">
        <f t="shared" si="37"/>
        <v>0</v>
      </c>
      <c r="CY650" s="1386"/>
      <c r="CZ650" s="1386"/>
      <c r="DA650" s="1386"/>
      <c r="DB650" s="1387"/>
      <c r="DC650" s="1385">
        <f t="shared" si="38"/>
        <v>0</v>
      </c>
      <c r="DD650" s="1386"/>
      <c r="DE650" s="1386"/>
      <c r="DF650" s="1386"/>
      <c r="DG650" s="1387"/>
      <c r="DH650" s="1385">
        <f t="shared" si="39"/>
        <v>0</v>
      </c>
      <c r="DI650" s="1386"/>
      <c r="DJ650" s="1386"/>
      <c r="DK650" s="1386"/>
      <c r="DL650" s="1387"/>
      <c r="DM650" s="1385">
        <f t="shared" si="40"/>
        <v>0</v>
      </c>
      <c r="DN650" s="1386"/>
      <c r="DO650" s="1386"/>
      <c r="DP650" s="1386"/>
      <c r="DQ650" s="1387"/>
      <c r="DR650" s="1385">
        <f t="shared" si="41"/>
        <v>0</v>
      </c>
      <c r="DS650" s="1386"/>
      <c r="DT650" s="1386"/>
      <c r="DU650" s="1386"/>
      <c r="DV650" s="1387"/>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471</v>
      </c>
      <c r="G651" s="1371" t="str">
        <f>C629</f>
        <v>Deferred Developer Fee</v>
      </c>
      <c r="H651" s="1371"/>
      <c r="I651" s="1371"/>
      <c r="J651" s="1371"/>
      <c r="K651" s="1371"/>
      <c r="L651" s="1371"/>
      <c r="M651" s="1371"/>
      <c r="N651" s="1371"/>
      <c r="O651" s="1371"/>
      <c r="P651" s="1371"/>
      <c r="Q651" s="1371"/>
      <c r="R651" s="1371"/>
      <c r="T651" s="55" t="s">
        <v>589</v>
      </c>
      <c r="U651" t="s">
        <v>471</v>
      </c>
      <c r="Z651" s="1371">
        <f>C630</f>
        <v>0</v>
      </c>
      <c r="AA651" s="1371"/>
      <c r="AB651" s="1371"/>
      <c r="AC651" s="1371"/>
      <c r="AD651" s="1371"/>
      <c r="AE651" s="1371"/>
      <c r="AF651" s="1371"/>
      <c r="AG651" s="1371"/>
      <c r="AH651" s="1371"/>
      <c r="AI651" s="1371"/>
      <c r="AJ651" s="1371"/>
      <c r="AK651" s="1371"/>
      <c r="AZ651" s="34"/>
      <c r="BA651" s="34"/>
      <c r="BB651" s="34"/>
      <c r="BC651" s="34"/>
      <c r="BD651" s="34"/>
      <c r="BE651" s="34"/>
      <c r="BF651" s="34"/>
      <c r="BG651" s="34"/>
      <c r="BH651" s="34"/>
      <c r="BI651" s="34"/>
      <c r="BJ651" s="34"/>
      <c r="BK651" s="34"/>
      <c r="BL651" s="34"/>
      <c r="BM651" s="34"/>
      <c r="BN651" s="1385">
        <f t="shared" si="30"/>
        <v>0</v>
      </c>
      <c r="BO651" s="1386"/>
      <c r="BP651" s="1386"/>
      <c r="BQ651" s="1386"/>
      <c r="BR651" s="1387"/>
      <c r="BS651" s="1384">
        <f t="shared" si="31"/>
        <v>0</v>
      </c>
      <c r="BT651" s="1384"/>
      <c r="BU651" s="1384"/>
      <c r="BV651" s="1384"/>
      <c r="BW651" s="1384"/>
      <c r="BX651" s="1384">
        <f t="shared" si="32"/>
        <v>0</v>
      </c>
      <c r="BY651" s="1384"/>
      <c r="BZ651" s="1384"/>
      <c r="CA651" s="1384"/>
      <c r="CB651" s="1384"/>
      <c r="CC651" s="1384">
        <f t="shared" si="33"/>
        <v>0</v>
      </c>
      <c r="CD651" s="1384"/>
      <c r="CE651" s="1384"/>
      <c r="CF651" s="1384"/>
      <c r="CG651" s="1384"/>
      <c r="CH651" s="1384">
        <f t="shared" si="34"/>
        <v>0</v>
      </c>
      <c r="CI651" s="1384"/>
      <c r="CJ651" s="1384"/>
      <c r="CK651" s="1384"/>
      <c r="CL651" s="1384"/>
      <c r="CM651" s="1384">
        <f t="shared" si="35"/>
        <v>0</v>
      </c>
      <c r="CN651" s="1384"/>
      <c r="CO651" s="1384"/>
      <c r="CP651" s="1384"/>
      <c r="CQ651" s="1384"/>
      <c r="CR651" s="6"/>
      <c r="CS651" s="1385">
        <f t="shared" si="36"/>
        <v>0</v>
      </c>
      <c r="CT651" s="1386"/>
      <c r="CU651" s="1386"/>
      <c r="CV651" s="1386"/>
      <c r="CW651" s="1387"/>
      <c r="CX651" s="1385">
        <f t="shared" si="37"/>
        <v>0</v>
      </c>
      <c r="CY651" s="1386"/>
      <c r="CZ651" s="1386"/>
      <c r="DA651" s="1386"/>
      <c r="DB651" s="1387"/>
      <c r="DC651" s="1385">
        <f t="shared" si="38"/>
        <v>0</v>
      </c>
      <c r="DD651" s="1386"/>
      <c r="DE651" s="1386"/>
      <c r="DF651" s="1386"/>
      <c r="DG651" s="1387"/>
      <c r="DH651" s="1385">
        <f t="shared" si="39"/>
        <v>0</v>
      </c>
      <c r="DI651" s="1386"/>
      <c r="DJ651" s="1386"/>
      <c r="DK651" s="1386"/>
      <c r="DL651" s="1387"/>
      <c r="DM651" s="1385">
        <f t="shared" si="40"/>
        <v>0</v>
      </c>
      <c r="DN651" s="1386"/>
      <c r="DO651" s="1386"/>
      <c r="DP651" s="1386"/>
      <c r="DQ651" s="1387"/>
      <c r="DR651" s="1385">
        <f t="shared" si="41"/>
        <v>0</v>
      </c>
      <c r="DS651" s="1386"/>
      <c r="DT651" s="1386"/>
      <c r="DU651" s="1386"/>
      <c r="DV651" s="1387"/>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360" t="s">
        <v>2729</v>
      </c>
      <c r="H652" s="1360"/>
      <c r="I652" s="1360"/>
      <c r="J652" s="1360"/>
      <c r="K652" s="1360"/>
      <c r="L652" s="1360"/>
      <c r="M652" s="1360"/>
      <c r="N652" s="1360"/>
      <c r="O652" s="1360"/>
      <c r="P652" s="1360"/>
      <c r="Q652" s="1360"/>
      <c r="R652" s="1360"/>
      <c r="T652" s="22"/>
      <c r="U652" t="s">
        <v>85</v>
      </c>
      <c r="Z652" s="1360"/>
      <c r="AA652" s="1360"/>
      <c r="AB652" s="1360"/>
      <c r="AC652" s="1360"/>
      <c r="AD652" s="1360"/>
      <c r="AE652" s="1360"/>
      <c r="AF652" s="1360"/>
      <c r="AG652" s="1360"/>
      <c r="AH652" s="1360"/>
      <c r="AI652" s="1360"/>
      <c r="AJ652" s="1360"/>
      <c r="AK652" s="1360"/>
      <c r="AZ652" s="34"/>
      <c r="BA652" s="34"/>
      <c r="BB652" s="34"/>
      <c r="BC652" s="34"/>
      <c r="BD652" s="34"/>
      <c r="BE652" s="34"/>
      <c r="BF652" s="34"/>
      <c r="BG652" s="34"/>
      <c r="BH652" s="34"/>
      <c r="BI652" s="34"/>
      <c r="BJ652" s="34"/>
      <c r="BK652" s="34"/>
      <c r="BL652" s="34"/>
      <c r="BM652" s="34"/>
      <c r="BN652" s="1385">
        <f t="shared" si="30"/>
        <v>0</v>
      </c>
      <c r="BO652" s="1386"/>
      <c r="BP652" s="1386"/>
      <c r="BQ652" s="1386"/>
      <c r="BR652" s="1387"/>
      <c r="BS652" s="1384">
        <f t="shared" si="31"/>
        <v>0</v>
      </c>
      <c r="BT652" s="1384"/>
      <c r="BU652" s="1384"/>
      <c r="BV652" s="1384"/>
      <c r="BW652" s="1384"/>
      <c r="BX652" s="1384">
        <f t="shared" si="32"/>
        <v>0</v>
      </c>
      <c r="BY652" s="1384"/>
      <c r="BZ652" s="1384"/>
      <c r="CA652" s="1384"/>
      <c r="CB652" s="1384"/>
      <c r="CC652" s="1384">
        <f t="shared" si="33"/>
        <v>0</v>
      </c>
      <c r="CD652" s="1384"/>
      <c r="CE652" s="1384"/>
      <c r="CF652" s="1384"/>
      <c r="CG652" s="1384"/>
      <c r="CH652" s="1384">
        <f t="shared" si="34"/>
        <v>0</v>
      </c>
      <c r="CI652" s="1384"/>
      <c r="CJ652" s="1384"/>
      <c r="CK652" s="1384"/>
      <c r="CL652" s="1384"/>
      <c r="CM652" s="1384">
        <f t="shared" si="35"/>
        <v>0</v>
      </c>
      <c r="CN652" s="1384"/>
      <c r="CO652" s="1384"/>
      <c r="CP652" s="1384"/>
      <c r="CQ652" s="1384"/>
      <c r="CR652" s="6"/>
      <c r="CS652" s="1385">
        <f t="shared" si="36"/>
        <v>0</v>
      </c>
      <c r="CT652" s="1386"/>
      <c r="CU652" s="1386"/>
      <c r="CV652" s="1386"/>
      <c r="CW652" s="1387"/>
      <c r="CX652" s="1385">
        <f t="shared" si="37"/>
        <v>0</v>
      </c>
      <c r="CY652" s="1386"/>
      <c r="CZ652" s="1386"/>
      <c r="DA652" s="1386"/>
      <c r="DB652" s="1387"/>
      <c r="DC652" s="1385">
        <f t="shared" si="38"/>
        <v>0</v>
      </c>
      <c r="DD652" s="1386"/>
      <c r="DE652" s="1386"/>
      <c r="DF652" s="1386"/>
      <c r="DG652" s="1387"/>
      <c r="DH652" s="1385">
        <f t="shared" si="39"/>
        <v>0</v>
      </c>
      <c r="DI652" s="1386"/>
      <c r="DJ652" s="1386"/>
      <c r="DK652" s="1386"/>
      <c r="DL652" s="1387"/>
      <c r="DM652" s="1385">
        <f t="shared" si="40"/>
        <v>0</v>
      </c>
      <c r="DN652" s="1386"/>
      <c r="DO652" s="1386"/>
      <c r="DP652" s="1386"/>
      <c r="DQ652" s="1387"/>
      <c r="DR652" s="1385">
        <f t="shared" si="41"/>
        <v>0</v>
      </c>
      <c r="DS652" s="1386"/>
      <c r="DT652" s="1386"/>
      <c r="DU652" s="1386"/>
      <c r="DV652" s="1387"/>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588</v>
      </c>
      <c r="G653" s="1362" t="s">
        <v>502</v>
      </c>
      <c r="H653" s="1362"/>
      <c r="I653" s="1362"/>
      <c r="J653" s="1362"/>
      <c r="K653" s="1362"/>
      <c r="L653" s="1362"/>
      <c r="M653" s="1362"/>
      <c r="N653" s="1362"/>
      <c r="O653" s="1362"/>
      <c r="P653" s="1362"/>
      <c r="Q653" s="1362"/>
      <c r="R653" s="1362"/>
      <c r="T653" s="22"/>
      <c r="U653" t="s">
        <v>588</v>
      </c>
      <c r="Z653" s="1362"/>
      <c r="AA653" s="1362"/>
      <c r="AB653" s="1362"/>
      <c r="AC653" s="1362"/>
      <c r="AD653" s="1362"/>
      <c r="AE653" s="1362"/>
      <c r="AF653" s="1362"/>
      <c r="AG653" s="1362"/>
      <c r="AH653" s="1362"/>
      <c r="AI653" s="1362"/>
      <c r="AJ653" s="1362"/>
      <c r="AK653" s="1362"/>
      <c r="AZ653" s="34"/>
      <c r="BA653" s="34"/>
      <c r="BB653" s="34"/>
      <c r="BC653" s="34"/>
      <c r="BD653" s="34"/>
      <c r="BE653" s="34"/>
      <c r="BF653" s="34"/>
      <c r="BG653" s="34"/>
      <c r="BH653" s="34"/>
      <c r="BI653" s="34"/>
      <c r="BJ653" s="34"/>
      <c r="BK653" s="34"/>
      <c r="BL653" s="34"/>
      <c r="BM653" s="34"/>
      <c r="BN653" s="1385">
        <f t="shared" si="30"/>
        <v>0</v>
      </c>
      <c r="BO653" s="1386"/>
      <c r="BP653" s="1386"/>
      <c r="BQ653" s="1386"/>
      <c r="BR653" s="1387"/>
      <c r="BS653" s="1384">
        <f t="shared" si="31"/>
        <v>0</v>
      </c>
      <c r="BT653" s="1384"/>
      <c r="BU653" s="1384"/>
      <c r="BV653" s="1384"/>
      <c r="BW653" s="1384"/>
      <c r="BX653" s="1384">
        <f t="shared" si="32"/>
        <v>0</v>
      </c>
      <c r="BY653" s="1384"/>
      <c r="BZ653" s="1384"/>
      <c r="CA653" s="1384"/>
      <c r="CB653" s="1384"/>
      <c r="CC653" s="1384">
        <f t="shared" si="33"/>
        <v>0</v>
      </c>
      <c r="CD653" s="1384"/>
      <c r="CE653" s="1384"/>
      <c r="CF653" s="1384"/>
      <c r="CG653" s="1384"/>
      <c r="CH653" s="1384">
        <f t="shared" si="34"/>
        <v>0</v>
      </c>
      <c r="CI653" s="1384"/>
      <c r="CJ653" s="1384"/>
      <c r="CK653" s="1384"/>
      <c r="CL653" s="1384"/>
      <c r="CM653" s="1384">
        <f t="shared" si="35"/>
        <v>0</v>
      </c>
      <c r="CN653" s="1384"/>
      <c r="CO653" s="1384"/>
      <c r="CP653" s="1384"/>
      <c r="CQ653" s="1384"/>
      <c r="CR653" s="6"/>
      <c r="CS653" s="1385">
        <f t="shared" si="36"/>
        <v>0</v>
      </c>
      <c r="CT653" s="1386"/>
      <c r="CU653" s="1386"/>
      <c r="CV653" s="1386"/>
      <c r="CW653" s="1387"/>
      <c r="CX653" s="1385">
        <f t="shared" si="37"/>
        <v>0</v>
      </c>
      <c r="CY653" s="1386"/>
      <c r="CZ653" s="1386"/>
      <c r="DA653" s="1386"/>
      <c r="DB653" s="1387"/>
      <c r="DC653" s="1385">
        <f t="shared" si="38"/>
        <v>0</v>
      </c>
      <c r="DD653" s="1386"/>
      <c r="DE653" s="1386"/>
      <c r="DF653" s="1386"/>
      <c r="DG653" s="1387"/>
      <c r="DH653" s="1385">
        <f t="shared" si="39"/>
        <v>0</v>
      </c>
      <c r="DI653" s="1386"/>
      <c r="DJ653" s="1386"/>
      <c r="DK653" s="1386"/>
      <c r="DL653" s="1387"/>
      <c r="DM653" s="1385">
        <f t="shared" si="40"/>
        <v>0</v>
      </c>
      <c r="DN653" s="1386"/>
      <c r="DO653" s="1386"/>
      <c r="DP653" s="1386"/>
      <c r="DQ653" s="1387"/>
      <c r="DR653" s="1385">
        <f t="shared" si="41"/>
        <v>0</v>
      </c>
      <c r="DS653" s="1386"/>
      <c r="DT653" s="1386"/>
      <c r="DU653" s="1386"/>
      <c r="DV653" s="1387"/>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362" t="s">
        <v>2730</v>
      </c>
      <c r="H654" s="1362"/>
      <c r="I654" s="1362"/>
      <c r="J654" s="1362"/>
      <c r="K654" s="1362"/>
      <c r="L654" s="1362"/>
      <c r="M654" s="1362"/>
      <c r="N654" s="1362"/>
      <c r="O654" s="1362"/>
      <c r="P654" s="1362"/>
      <c r="Q654" s="1362"/>
      <c r="R654" s="1362"/>
      <c r="T654" s="22"/>
      <c r="U654" t="s">
        <v>17</v>
      </c>
      <c r="Z654" s="1362"/>
      <c r="AA654" s="1362"/>
      <c r="AB654" s="1362"/>
      <c r="AC654" s="1362"/>
      <c r="AD654" s="1362"/>
      <c r="AE654" s="1362"/>
      <c r="AF654" s="1362"/>
      <c r="AG654" s="1362"/>
      <c r="AH654" s="1362"/>
      <c r="AI654" s="1362"/>
      <c r="AJ654" s="1362"/>
      <c r="AK654" s="1362"/>
      <c r="AZ654" s="34"/>
      <c r="BA654" s="34"/>
      <c r="BB654" s="34"/>
      <c r="BC654" s="34"/>
      <c r="BD654" s="34"/>
      <c r="BE654" s="34"/>
      <c r="BF654" s="34"/>
      <c r="BG654" s="34"/>
      <c r="BH654" s="34"/>
      <c r="BI654" s="34"/>
      <c r="BJ654" s="34"/>
      <c r="BK654" s="34"/>
      <c r="BL654" s="34"/>
      <c r="BM654" s="34"/>
      <c r="BN654" s="1385">
        <f t="shared" si="30"/>
        <v>0</v>
      </c>
      <c r="BO654" s="1386"/>
      <c r="BP654" s="1386"/>
      <c r="BQ654" s="1386"/>
      <c r="BR654" s="1387"/>
      <c r="BS654" s="1384">
        <f t="shared" si="31"/>
        <v>0</v>
      </c>
      <c r="BT654" s="1384"/>
      <c r="BU654" s="1384"/>
      <c r="BV654" s="1384"/>
      <c r="BW654" s="1384"/>
      <c r="BX654" s="1384">
        <f t="shared" si="32"/>
        <v>0</v>
      </c>
      <c r="BY654" s="1384"/>
      <c r="BZ654" s="1384"/>
      <c r="CA654" s="1384"/>
      <c r="CB654" s="1384"/>
      <c r="CC654" s="1384">
        <f t="shared" si="33"/>
        <v>0</v>
      </c>
      <c r="CD654" s="1384"/>
      <c r="CE654" s="1384"/>
      <c r="CF654" s="1384"/>
      <c r="CG654" s="1384"/>
      <c r="CH654" s="1384">
        <f t="shared" si="34"/>
        <v>0</v>
      </c>
      <c r="CI654" s="1384"/>
      <c r="CJ654" s="1384"/>
      <c r="CK654" s="1384"/>
      <c r="CL654" s="1384"/>
      <c r="CM654" s="1384">
        <f t="shared" si="35"/>
        <v>0</v>
      </c>
      <c r="CN654" s="1384"/>
      <c r="CO654" s="1384"/>
      <c r="CP654" s="1384"/>
      <c r="CQ654" s="1384"/>
      <c r="CR654" s="6"/>
      <c r="CS654" s="1385">
        <f t="shared" si="36"/>
        <v>0</v>
      </c>
      <c r="CT654" s="1386"/>
      <c r="CU654" s="1386"/>
      <c r="CV654" s="1386"/>
      <c r="CW654" s="1387"/>
      <c r="CX654" s="1385">
        <f t="shared" si="37"/>
        <v>0</v>
      </c>
      <c r="CY654" s="1386"/>
      <c r="CZ654" s="1386"/>
      <c r="DA654" s="1386"/>
      <c r="DB654" s="1387"/>
      <c r="DC654" s="1385">
        <f t="shared" si="38"/>
        <v>0</v>
      </c>
      <c r="DD654" s="1386"/>
      <c r="DE654" s="1386"/>
      <c r="DF654" s="1386"/>
      <c r="DG654" s="1387"/>
      <c r="DH654" s="1385">
        <f t="shared" si="39"/>
        <v>0</v>
      </c>
      <c r="DI654" s="1386"/>
      <c r="DJ654" s="1386"/>
      <c r="DK654" s="1386"/>
      <c r="DL654" s="1387"/>
      <c r="DM654" s="1385">
        <f t="shared" si="40"/>
        <v>0</v>
      </c>
      <c r="DN654" s="1386"/>
      <c r="DO654" s="1386"/>
      <c r="DP654" s="1386"/>
      <c r="DQ654" s="1387"/>
      <c r="DR654" s="1385">
        <f t="shared" si="41"/>
        <v>0</v>
      </c>
      <c r="DS654" s="1386"/>
      <c r="DT654" s="1386"/>
      <c r="DU654" s="1386"/>
      <c r="DV654" s="1387"/>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316</v>
      </c>
      <c r="G655" s="1361" t="s">
        <v>2647</v>
      </c>
      <c r="H655" s="1378"/>
      <c r="I655" s="1378"/>
      <c r="J655" s="1378"/>
      <c r="K655" s="1378"/>
      <c r="L655" s="1378"/>
      <c r="O655" s="33" t="s">
        <v>206</v>
      </c>
      <c r="P655" s="1367"/>
      <c r="Q655" s="1367"/>
      <c r="R655" s="1367"/>
      <c r="T655" s="22"/>
      <c r="U655" t="s">
        <v>316</v>
      </c>
      <c r="Z655" s="1378"/>
      <c r="AA655" s="1378"/>
      <c r="AB655" s="1378"/>
      <c r="AC655" s="1378"/>
      <c r="AD655" s="1378"/>
      <c r="AE655" s="1378"/>
      <c r="AH655" s="33" t="s">
        <v>206</v>
      </c>
      <c r="AI655" s="1367"/>
      <c r="AJ655" s="1367"/>
      <c r="AK655" s="1367"/>
      <c r="AZ655" s="34"/>
      <c r="BA655" s="34"/>
      <c r="BB655" s="34"/>
      <c r="BC655" s="34"/>
      <c r="BD655" s="34"/>
      <c r="BE655" s="34"/>
      <c r="BF655" s="34"/>
      <c r="BG655" s="34"/>
      <c r="BH655" s="34"/>
      <c r="BI655" s="34"/>
      <c r="BJ655" s="34"/>
      <c r="BK655" s="34"/>
      <c r="BL655" s="34"/>
      <c r="BM655" s="34"/>
      <c r="BN655" s="1504">
        <f>SUM(BN645:BR654)</f>
        <v>0</v>
      </c>
      <c r="BO655" s="1676"/>
      <c r="BP655" s="1676"/>
      <c r="BQ655" s="1676"/>
      <c r="BR655" s="1505"/>
      <c r="BS655" s="1700">
        <f>SUM(BS645:BW654)</f>
        <v>0</v>
      </c>
      <c r="BT655" s="1701"/>
      <c r="BU655" s="1701"/>
      <c r="BV655" s="1701"/>
      <c r="BW655" s="1702"/>
      <c r="BX655" s="1700">
        <f>SUM(BX645:CB654)</f>
        <v>0</v>
      </c>
      <c r="BY655" s="1701"/>
      <c r="BZ655" s="1701"/>
      <c r="CA655" s="1701"/>
      <c r="CB655" s="1702"/>
      <c r="CC655" s="1700">
        <f>SUM(CC645:CG654)</f>
        <v>0</v>
      </c>
      <c r="CD655" s="1701"/>
      <c r="CE655" s="1701"/>
      <c r="CF655" s="1701"/>
      <c r="CG655" s="1702"/>
      <c r="CH655" s="1700">
        <f>SUM(CH645:CL654)</f>
        <v>0</v>
      </c>
      <c r="CI655" s="1701"/>
      <c r="CJ655" s="1701"/>
      <c r="CK655" s="1701"/>
      <c r="CL655" s="1702"/>
      <c r="CM655" s="1700">
        <f>SUM(CM645:CQ654)</f>
        <v>0</v>
      </c>
      <c r="CN655" s="1701"/>
      <c r="CO655" s="1701"/>
      <c r="CP655" s="1701"/>
      <c r="CQ655" s="1702"/>
      <c r="CR655" s="1044"/>
      <c r="CS655" s="1613">
        <f>SUM(CS645:CW654)</f>
        <v>0</v>
      </c>
      <c r="CT655" s="1613"/>
      <c r="CU655" s="1613"/>
      <c r="CV655" s="1613"/>
      <c r="CW655" s="1613"/>
      <c r="CX655" s="1613">
        <f>SUM(CX645:DB654)</f>
        <v>0</v>
      </c>
      <c r="CY655" s="1613"/>
      <c r="CZ655" s="1613"/>
      <c r="DA655" s="1613"/>
      <c r="DB655" s="1613"/>
      <c r="DC655" s="1613">
        <f>SUM(DC645:DG654)</f>
        <v>0</v>
      </c>
      <c r="DD655" s="1613"/>
      <c r="DE655" s="1613"/>
      <c r="DF655" s="1613"/>
      <c r="DG655" s="1613"/>
      <c r="DH655" s="1613">
        <f>SUM(DH645:DL654)</f>
        <v>0</v>
      </c>
      <c r="DI655" s="1613"/>
      <c r="DJ655" s="1613"/>
      <c r="DK655" s="1613"/>
      <c r="DL655" s="1613"/>
      <c r="DM655" s="1613">
        <f>SUM(DM645:DQ654)</f>
        <v>0</v>
      </c>
      <c r="DN655" s="1613"/>
      <c r="DO655" s="1613"/>
      <c r="DP655" s="1613"/>
      <c r="DQ655" s="1613"/>
      <c r="DR655" s="1613">
        <f>SUM(DR645:DV654)</f>
        <v>0</v>
      </c>
      <c r="DS655" s="1613"/>
      <c r="DT655" s="1613"/>
      <c r="DU655" s="1613"/>
      <c r="DV655" s="1613"/>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360" t="s">
        <v>1845</v>
      </c>
      <c r="I656" s="1360"/>
      <c r="J656" s="1360"/>
      <c r="K656" s="1360"/>
      <c r="L656" s="1360"/>
      <c r="M656" s="1360"/>
      <c r="N656" s="1360"/>
      <c r="O656" s="1360"/>
      <c r="P656" s="1360"/>
      <c r="Q656" s="1360"/>
      <c r="R656" s="1360"/>
      <c r="T656" s="22"/>
      <c r="U656" t="s">
        <v>18</v>
      </c>
      <c r="AA656" s="1360"/>
      <c r="AB656" s="1360"/>
      <c r="AC656" s="1360"/>
      <c r="AD656" s="1360"/>
      <c r="AE656" s="1360"/>
      <c r="AF656" s="1360"/>
      <c r="AG656" s="1360"/>
      <c r="AH656" s="1360"/>
      <c r="AI656" s="1360"/>
      <c r="AJ656" s="1360"/>
      <c r="AK656" s="136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66" t="s">
        <v>553</v>
      </c>
      <c r="O657" s="1366"/>
      <c r="T657" s="22"/>
      <c r="U657" t="s">
        <v>20</v>
      </c>
      <c r="AG657" s="1366" t="s">
        <v>677</v>
      </c>
      <c r="AH657" s="1366"/>
      <c r="AZ657" s="34"/>
      <c r="BA657" s="34"/>
      <c r="BB657" s="34"/>
      <c r="BC657" s="34"/>
      <c r="BD657" s="34"/>
      <c r="BE657" s="34"/>
      <c r="BF657" s="34"/>
      <c r="BG657" s="34"/>
      <c r="BH657" s="34"/>
      <c r="BI657" s="34"/>
      <c r="BJ657" s="34"/>
      <c r="BK657" s="34"/>
      <c r="BL657" s="34"/>
      <c r="BM657" s="34"/>
      <c r="CR657" s="3"/>
      <c r="CS657" s="895">
        <f>BN655+BS655+BX655+CC655+CH655+CM655</f>
        <v>0</v>
      </c>
      <c r="CT657" s="57" t="s">
        <v>2044</v>
      </c>
      <c r="CU657" s="3"/>
      <c r="CV657" s="3"/>
      <c r="CW657" s="3"/>
      <c r="CX657" s="3"/>
      <c r="CY657" s="3"/>
      <c r="CZ657" s="3"/>
      <c r="DA657" s="3"/>
      <c r="DB657" s="3"/>
      <c r="DC657" s="3"/>
      <c r="DD657" s="3"/>
      <c r="DE657" s="3"/>
      <c r="DF657" s="3"/>
      <c r="DQ657" s="56" t="s">
        <v>2053</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772</v>
      </c>
      <c r="B659" t="s">
        <v>471</v>
      </c>
      <c r="G659" s="1371">
        <f>C631</f>
        <v>0</v>
      </c>
      <c r="H659" s="1371"/>
      <c r="I659" s="1371"/>
      <c r="J659" s="1371"/>
      <c r="K659" s="1371"/>
      <c r="L659" s="1371"/>
      <c r="M659" s="1371"/>
      <c r="N659" s="1371"/>
      <c r="O659" s="1371"/>
      <c r="P659" s="1371"/>
      <c r="Q659" s="1371"/>
      <c r="R659" s="1371"/>
      <c r="T659" s="55" t="s">
        <v>592</v>
      </c>
      <c r="U659" t="s">
        <v>471</v>
      </c>
      <c r="Z659" s="1371">
        <f>C632</f>
        <v>0</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360"/>
      <c r="H660" s="1360"/>
      <c r="I660" s="1360"/>
      <c r="J660" s="1360"/>
      <c r="K660" s="1360"/>
      <c r="L660" s="1360"/>
      <c r="M660" s="1360"/>
      <c r="N660" s="1360"/>
      <c r="O660" s="1360"/>
      <c r="P660" s="1360"/>
      <c r="Q660" s="1360"/>
      <c r="R660" s="1360"/>
      <c r="T660" s="22"/>
      <c r="U660" t="s">
        <v>85</v>
      </c>
      <c r="Z660" s="1360"/>
      <c r="AA660" s="1360"/>
      <c r="AB660" s="1360"/>
      <c r="AC660" s="1360"/>
      <c r="AD660" s="1360"/>
      <c r="AE660" s="1360"/>
      <c r="AF660" s="1360"/>
      <c r="AG660" s="1360"/>
      <c r="AH660" s="1360"/>
      <c r="AI660" s="1360"/>
      <c r="AJ660" s="1360"/>
      <c r="AK660" s="1360"/>
      <c r="AZ660" s="34"/>
      <c r="BA660" s="34"/>
      <c r="BB660" s="34"/>
      <c r="BC660" s="34"/>
      <c r="BD660" s="34"/>
      <c r="BE660" s="34"/>
      <c r="BF660" s="34"/>
      <c r="BG660" s="34"/>
      <c r="BH660" s="34"/>
      <c r="BI660" s="34"/>
      <c r="BJ660" s="34"/>
      <c r="BK660" s="34"/>
      <c r="BL660" s="34"/>
      <c r="BM660" s="34"/>
      <c r="BN660" s="1700">
        <f>BN632+BN641+BN655</f>
        <v>0</v>
      </c>
      <c r="BO660" s="1701"/>
      <c r="BP660" s="1701"/>
      <c r="BQ660" s="1701"/>
      <c r="BR660" s="1702"/>
      <c r="BS660" s="1700">
        <f>BS632+BS641+BS655</f>
        <v>76</v>
      </c>
      <c r="BT660" s="1701"/>
      <c r="BU660" s="1701"/>
      <c r="BV660" s="1701"/>
      <c r="BW660" s="1702"/>
      <c r="BX660" s="1700">
        <f>BX632+BX641+BX655</f>
        <v>44</v>
      </c>
      <c r="BY660" s="1701"/>
      <c r="BZ660" s="1701"/>
      <c r="CA660" s="1701"/>
      <c r="CB660" s="1702"/>
      <c r="CC660" s="1700">
        <f>CC632+CC641+CC655</f>
        <v>40</v>
      </c>
      <c r="CD660" s="1701"/>
      <c r="CE660" s="1701"/>
      <c r="CF660" s="1701"/>
      <c r="CG660" s="1702"/>
      <c r="CH660" s="1700">
        <f>CH632+CH641+CH655</f>
        <v>0</v>
      </c>
      <c r="CI660" s="1701"/>
      <c r="CJ660" s="1701"/>
      <c r="CK660" s="1701"/>
      <c r="CL660" s="1702"/>
      <c r="CM660" s="1379">
        <f>CM655+CM641+CM632</f>
        <v>0</v>
      </c>
      <c r="CN660" s="1380"/>
      <c r="CO660" s="1380"/>
      <c r="CP660" s="1380"/>
      <c r="CQ660" s="1381"/>
      <c r="CR660" s="3"/>
      <c r="CS660" s="895">
        <f>CS634+CS658</f>
        <v>280</v>
      </c>
      <c r="CT660" s="57" t="s">
        <v>2049</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588</v>
      </c>
      <c r="G661" s="1360"/>
      <c r="H661" s="1360"/>
      <c r="I661" s="1360"/>
      <c r="J661" s="1360"/>
      <c r="K661" s="1360"/>
      <c r="L661" s="1360"/>
      <c r="M661" s="1360"/>
      <c r="N661" s="1360"/>
      <c r="O661" s="1360"/>
      <c r="P661" s="1360"/>
      <c r="Q661" s="1360"/>
      <c r="R661" s="1360"/>
      <c r="T661" s="22"/>
      <c r="U661" t="s">
        <v>588</v>
      </c>
      <c r="Z661" s="1362"/>
      <c r="AA661" s="1362"/>
      <c r="AB661" s="1362"/>
      <c r="AC661" s="1362"/>
      <c r="AD661" s="1362"/>
      <c r="AE661" s="1362"/>
      <c r="AF661" s="1362"/>
      <c r="AG661" s="1362"/>
      <c r="AH661" s="1362"/>
      <c r="AI661" s="1362"/>
      <c r="AJ661" s="1362"/>
      <c r="AK661" s="13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360"/>
      <c r="H662" s="1360"/>
      <c r="I662" s="1360"/>
      <c r="J662" s="1360"/>
      <c r="K662" s="1360"/>
      <c r="L662" s="1360"/>
      <c r="M662" s="1360"/>
      <c r="N662" s="1360"/>
      <c r="O662" s="1360"/>
      <c r="P662" s="1360"/>
      <c r="Q662" s="1360"/>
      <c r="R662" s="1360"/>
      <c r="T662" s="22"/>
      <c r="U662" t="s">
        <v>17</v>
      </c>
      <c r="Z662" s="1362"/>
      <c r="AA662" s="1362"/>
      <c r="AB662" s="1362"/>
      <c r="AC662" s="1362"/>
      <c r="AD662" s="1362"/>
      <c r="AE662" s="1362"/>
      <c r="AF662" s="1362"/>
      <c r="AG662" s="1362"/>
      <c r="AH662" s="1362"/>
      <c r="AI662" s="1362"/>
      <c r="AJ662" s="1362"/>
      <c r="AK662" s="13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316</v>
      </c>
      <c r="G663" s="1378"/>
      <c r="H663" s="1378"/>
      <c r="I663" s="1378"/>
      <c r="J663" s="1378"/>
      <c r="K663" s="1378"/>
      <c r="L663" s="1378"/>
      <c r="O663" s="33" t="s">
        <v>206</v>
      </c>
      <c r="P663" s="1367"/>
      <c r="Q663" s="1367"/>
      <c r="R663" s="1367"/>
      <c r="T663" s="22"/>
      <c r="U663" t="s">
        <v>316</v>
      </c>
      <c r="Z663" s="1378"/>
      <c r="AA663" s="1378"/>
      <c r="AB663" s="1378"/>
      <c r="AC663" s="1378"/>
      <c r="AD663" s="1378"/>
      <c r="AE663" s="1378"/>
      <c r="AH663" s="33" t="s">
        <v>206</v>
      </c>
      <c r="AI663" s="1367"/>
      <c r="AJ663" s="1367"/>
      <c r="AK663" s="136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360"/>
      <c r="I664" s="1360"/>
      <c r="J664" s="1360"/>
      <c r="K664" s="1360"/>
      <c r="L664" s="1360"/>
      <c r="M664" s="1360"/>
      <c r="N664" s="1360"/>
      <c r="O664" s="1360"/>
      <c r="P664" s="1360"/>
      <c r="Q664" s="1360"/>
      <c r="R664" s="1360"/>
      <c r="T664" s="22"/>
      <c r="U664" t="s">
        <v>18</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66" t="s">
        <v>677</v>
      </c>
      <c r="O665" s="1366"/>
      <c r="T665" s="22"/>
      <c r="U665" t="s">
        <v>20</v>
      </c>
      <c r="AG665" s="1366" t="s">
        <v>677</v>
      </c>
      <c r="AH665" s="136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657</v>
      </c>
      <c r="BB666" s="3"/>
      <c r="BC666" s="3"/>
      <c r="BD666" s="3"/>
      <c r="BE666" s="3"/>
      <c r="BF666" s="218"/>
      <c r="BG666" s="219" t="s">
        <v>908</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463</v>
      </c>
      <c r="B667" t="s">
        <v>471</v>
      </c>
      <c r="G667" s="1371">
        <f>C633</f>
        <v>0</v>
      </c>
      <c r="H667" s="1371"/>
      <c r="I667" s="1371"/>
      <c r="J667" s="1371"/>
      <c r="K667" s="1371"/>
      <c r="L667" s="1371"/>
      <c r="M667" s="1371"/>
      <c r="N667" s="1371"/>
      <c r="O667" s="1371"/>
      <c r="P667" s="1371"/>
      <c r="Q667" s="1371"/>
      <c r="R667" s="1371"/>
      <c r="T667" s="55" t="s">
        <v>464</v>
      </c>
      <c r="U667" t="s">
        <v>471</v>
      </c>
      <c r="Z667" s="1371">
        <f>C634</f>
        <v>0</v>
      </c>
      <c r="AA667" s="1371"/>
      <c r="AB667" s="1371"/>
      <c r="AC667" s="1371"/>
      <c r="AD667" s="1371"/>
      <c r="AE667" s="1371"/>
      <c r="AF667" s="1371"/>
      <c r="AG667" s="1371"/>
      <c r="AH667" s="1371"/>
      <c r="AI667" s="1371"/>
      <c r="AJ667" s="1371"/>
      <c r="AK667" s="1371"/>
      <c r="AZ667" s="3"/>
      <c r="BA667" s="118">
        <f t="shared" ref="BA667:BA699" si="48">IF($G718=0,"N/A",VLOOKUP($T$189,TC_Rent,(MATCH($B718,bedrooms,FALSE))))</f>
        <v>2364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360"/>
      <c r="H668" s="1360"/>
      <c r="I668" s="1360"/>
      <c r="J668" s="1360"/>
      <c r="K668" s="1360"/>
      <c r="L668" s="1360"/>
      <c r="M668" s="1360"/>
      <c r="N668" s="1360"/>
      <c r="O668" s="1360"/>
      <c r="P668" s="1360"/>
      <c r="Q668" s="1360"/>
      <c r="R668" s="1360"/>
      <c r="T668" s="22"/>
      <c r="U668" t="s">
        <v>85</v>
      </c>
      <c r="Z668" s="1360"/>
      <c r="AA668" s="1360"/>
      <c r="AB668" s="1360"/>
      <c r="AC668" s="1360"/>
      <c r="AD668" s="1360"/>
      <c r="AE668" s="1360"/>
      <c r="AF668" s="1360"/>
      <c r="AG668" s="1360"/>
      <c r="AH668" s="1360"/>
      <c r="AI668" s="1360"/>
      <c r="AJ668" s="1360"/>
      <c r="AK668" s="1360"/>
      <c r="AZ668" s="3"/>
      <c r="BA668" s="118">
        <f t="shared" si="48"/>
        <v>2364</v>
      </c>
      <c r="BB668" s="3"/>
      <c r="BC668" s="3"/>
      <c r="BD668" s="3"/>
      <c r="BE668" s="3"/>
      <c r="BF668" s="218"/>
      <c r="BG668" s="315">
        <f t="shared" ref="BG668:BG700" si="49">G718</f>
        <v>20</v>
      </c>
      <c r="BH668" s="319">
        <f t="shared" ref="BH668:BH702" si="50">IF($BG$703=0,0,BG668/$BG$703)</f>
        <v>0.12658227848101267</v>
      </c>
      <c r="BI668" s="320">
        <f t="shared" ref="BI668:BI691" si="51">IF(BH668=0,"",BH668*AC718)</f>
        <v>3.7974683544303799E-2</v>
      </c>
      <c r="BJ668" s="3"/>
      <c r="BK668" s="3"/>
      <c r="BL668" s="3"/>
      <c r="BM668" s="3"/>
      <c r="BN668" s="3"/>
      <c r="BO668" s="3"/>
      <c r="BT668" s="315">
        <f t="shared" ref="BT668:BT700" si="52">G718</f>
        <v>20</v>
      </c>
      <c r="BU668" s="319">
        <f t="shared" ref="BU668:BU702" si="53">IF($BT$703=0,0,BT668/$BT$703)</f>
        <v>0.12658227848101267</v>
      </c>
      <c r="BV668" s="320">
        <f t="shared" ref="BV668:BV700" si="54">IF(BU668=0,"",BU668*AH718)</f>
        <v>3.7963974383687808E-2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588</v>
      </c>
      <c r="G669" s="1360"/>
      <c r="H669" s="1360"/>
      <c r="I669" s="1360"/>
      <c r="J669" s="1360"/>
      <c r="K669" s="1360"/>
      <c r="L669" s="1360"/>
      <c r="M669" s="1360"/>
      <c r="N669" s="1360"/>
      <c r="O669" s="1360"/>
      <c r="P669" s="1360"/>
      <c r="Q669" s="1360"/>
      <c r="R669" s="1360"/>
      <c r="T669" s="22"/>
      <c r="U669" t="s">
        <v>588</v>
      </c>
      <c r="Z669" s="1362"/>
      <c r="AA669" s="1362"/>
      <c r="AB669" s="1362"/>
      <c r="AC669" s="1362"/>
      <c r="AD669" s="1362"/>
      <c r="AE669" s="1362"/>
      <c r="AF669" s="1362"/>
      <c r="AG669" s="1362"/>
      <c r="AH669" s="1362"/>
      <c r="AI669" s="1362"/>
      <c r="AJ669" s="1362"/>
      <c r="AK669" s="1362"/>
      <c r="AZ669" s="3"/>
      <c r="BA669" s="118">
        <f t="shared" si="48"/>
        <v>2364</v>
      </c>
      <c r="BB669" s="3"/>
      <c r="BC669" s="3"/>
      <c r="BD669" s="3"/>
      <c r="BE669" s="3"/>
      <c r="BF669" s="218"/>
      <c r="BG669" s="316">
        <f t="shared" si="49"/>
        <v>6</v>
      </c>
      <c r="BH669" s="319">
        <f t="shared" si="50"/>
        <v>3.7974683544303799E-2</v>
      </c>
      <c r="BI669" s="320">
        <f t="shared" si="51"/>
        <v>1.8987341772151899E-2</v>
      </c>
      <c r="BJ669" s="3"/>
      <c r="BK669" s="3"/>
      <c r="BL669" s="3"/>
      <c r="BM669" s="3"/>
      <c r="BN669" s="3"/>
      <c r="BO669" s="3"/>
      <c r="BT669" s="316">
        <f t="shared" si="52"/>
        <v>6</v>
      </c>
      <c r="BU669" s="319">
        <f t="shared" si="53"/>
        <v>3.7974683544303799E-2</v>
      </c>
      <c r="BV669" s="320">
        <f t="shared" si="54"/>
        <v>1.8987341772151899E-2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360"/>
      <c r="H670" s="1360"/>
      <c r="I670" s="1360"/>
      <c r="J670" s="1360"/>
      <c r="K670" s="1360"/>
      <c r="L670" s="1360"/>
      <c r="M670" s="1360"/>
      <c r="N670" s="1360"/>
      <c r="O670" s="1360"/>
      <c r="P670" s="1360"/>
      <c r="Q670" s="1360"/>
      <c r="R670" s="1360"/>
      <c r="T670" s="22"/>
      <c r="U670" t="s">
        <v>17</v>
      </c>
      <c r="Z670" s="1362"/>
      <c r="AA670" s="1362"/>
      <c r="AB670" s="1362"/>
      <c r="AC670" s="1362"/>
      <c r="AD670" s="1362"/>
      <c r="AE670" s="1362"/>
      <c r="AF670" s="1362"/>
      <c r="AG670" s="1362"/>
      <c r="AH670" s="1362"/>
      <c r="AI670" s="1362"/>
      <c r="AJ670" s="1362"/>
      <c r="AK670" s="1362"/>
      <c r="AZ670" s="3"/>
      <c r="BA670" s="118">
        <f t="shared" si="48"/>
        <v>2364</v>
      </c>
      <c r="BB670" s="3"/>
      <c r="BC670" s="3"/>
      <c r="BD670" s="3"/>
      <c r="BE670" s="3"/>
      <c r="BF670" s="218"/>
      <c r="BG670" s="316">
        <f t="shared" si="49"/>
        <v>42</v>
      </c>
      <c r="BH670" s="319">
        <f t="shared" si="50"/>
        <v>0.26582278481012656</v>
      </c>
      <c r="BI670" s="320">
        <f t="shared" si="51"/>
        <v>0.15949367088607594</v>
      </c>
      <c r="BJ670" s="3"/>
      <c r="BK670" s="3"/>
      <c r="BL670" s="3"/>
      <c r="BM670" s="3"/>
      <c r="BN670" s="3"/>
      <c r="BO670" s="3"/>
      <c r="BT670" s="316">
        <f t="shared" si="52"/>
        <v>42</v>
      </c>
      <c r="BU670" s="319">
        <f t="shared" si="53"/>
        <v>0.26582278481012656</v>
      </c>
      <c r="BV670" s="320">
        <f t="shared" si="54"/>
        <v>0.1595611385979567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1160.2894736842106</v>
      </c>
      <c r="ED670" s="1353"/>
      <c r="EE670" s="1353"/>
      <c r="EF670" s="1353"/>
      <c r="EG670" s="1353"/>
      <c r="EH670" s="1353">
        <f>SUMIF(EH635:EL669,"&gt;0")</f>
        <v>1408.1428571428571</v>
      </c>
      <c r="EI670" s="1353"/>
      <c r="EJ670" s="1353"/>
      <c r="EK670" s="1353"/>
      <c r="EL670" s="1353"/>
      <c r="EM670" s="1353">
        <f>SUMIF(EM635:EQ669,"&gt;0")</f>
        <v>1608.1999999999998</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316</v>
      </c>
      <c r="G671" s="1378"/>
      <c r="H671" s="1378"/>
      <c r="I671" s="1378"/>
      <c r="J671" s="1378"/>
      <c r="K671" s="1378"/>
      <c r="L671" s="1378"/>
      <c r="O671" s="33" t="s">
        <v>206</v>
      </c>
      <c r="P671" s="1367"/>
      <c r="Q671" s="1367"/>
      <c r="R671" s="1367"/>
      <c r="T671" s="22"/>
      <c r="U671" t="s">
        <v>316</v>
      </c>
      <c r="Z671" s="1378"/>
      <c r="AA671" s="1378"/>
      <c r="AB671" s="1378"/>
      <c r="AC671" s="1378"/>
      <c r="AD671" s="1378"/>
      <c r="AE671" s="1378"/>
      <c r="AH671" s="33" t="s">
        <v>206</v>
      </c>
      <c r="AI671" s="1367"/>
      <c r="AJ671" s="1367"/>
      <c r="AK671" s="1367"/>
      <c r="AZ671" s="3"/>
      <c r="BA671" s="118">
        <f t="shared" si="48"/>
        <v>2836</v>
      </c>
      <c r="BB671" s="3"/>
      <c r="BC671" s="3"/>
      <c r="BD671" s="3"/>
      <c r="BE671" s="3"/>
      <c r="BF671" s="218"/>
      <c r="BG671" s="316">
        <f t="shared" si="49"/>
        <v>8</v>
      </c>
      <c r="BH671" s="319">
        <f t="shared" si="50"/>
        <v>5.0632911392405063E-2</v>
      </c>
      <c r="BI671" s="320">
        <f t="shared" si="51"/>
        <v>3.5443037974683539E-2</v>
      </c>
      <c r="BJ671" s="3"/>
      <c r="BK671" s="3"/>
      <c r="BL671" s="3"/>
      <c r="BM671" s="3"/>
      <c r="BN671" s="3"/>
      <c r="BO671" s="3"/>
      <c r="BT671" s="316">
        <f t="shared" si="52"/>
        <v>8</v>
      </c>
      <c r="BU671" s="319">
        <f t="shared" si="53"/>
        <v>5.0632911392405063E-2</v>
      </c>
      <c r="BV671" s="320">
        <f t="shared" si="54"/>
        <v>3.5447321638929941E-2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0"/>
      <c r="I672" s="1360"/>
      <c r="J672" s="1360"/>
      <c r="K672" s="1360"/>
      <c r="L672" s="1360"/>
      <c r="M672" s="1360"/>
      <c r="N672" s="1360"/>
      <c r="O672" s="1360"/>
      <c r="P672" s="1360"/>
      <c r="Q672" s="1360"/>
      <c r="R672" s="1360"/>
      <c r="T672" s="22"/>
      <c r="U672" t="s">
        <v>18</v>
      </c>
      <c r="AA672" s="1360"/>
      <c r="AB672" s="1360"/>
      <c r="AC672" s="1360"/>
      <c r="AD672" s="1360"/>
      <c r="AE672" s="1360"/>
      <c r="AF672" s="1360"/>
      <c r="AG672" s="1360"/>
      <c r="AH672" s="1360"/>
      <c r="AI672" s="1360"/>
      <c r="AJ672" s="1360"/>
      <c r="AK672" s="1360"/>
      <c r="AZ672" s="3"/>
      <c r="BA672" s="118">
        <f t="shared" si="48"/>
        <v>2836</v>
      </c>
      <c r="BB672" s="3"/>
      <c r="BC672" s="3"/>
      <c r="BD672" s="3"/>
      <c r="BE672" s="3"/>
      <c r="BF672" s="218"/>
      <c r="BG672" s="316">
        <f t="shared" si="49"/>
        <v>10</v>
      </c>
      <c r="BH672" s="319">
        <f t="shared" si="50"/>
        <v>6.3291139240506333E-2</v>
      </c>
      <c r="BI672" s="320">
        <f t="shared" si="51"/>
        <v>1.8987341772151899E-2</v>
      </c>
      <c r="BJ672" s="3"/>
      <c r="BK672" s="3"/>
      <c r="BL672" s="3"/>
      <c r="BM672" s="3"/>
      <c r="BN672" s="3"/>
      <c r="BO672" s="3"/>
      <c r="BT672" s="316">
        <f t="shared" si="52"/>
        <v>10</v>
      </c>
      <c r="BU672" s="319">
        <f t="shared" si="53"/>
        <v>6.3291139240506333E-2</v>
      </c>
      <c r="BV672" s="320">
        <f t="shared" si="54"/>
        <v>1.8991805181125136E-2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6" t="s">
        <v>677</v>
      </c>
      <c r="O673" s="1366"/>
      <c r="T673" s="22"/>
      <c r="U673" t="s">
        <v>20</v>
      </c>
      <c r="AG673" s="1366" t="s">
        <v>677</v>
      </c>
      <c r="AH673" s="1366"/>
      <c r="AZ673" s="3"/>
      <c r="BA673" s="118">
        <f t="shared" si="48"/>
        <v>2836</v>
      </c>
      <c r="BB673" s="3"/>
      <c r="BC673" s="3"/>
      <c r="BD673" s="3"/>
      <c r="BE673" s="3"/>
      <c r="BF673" s="218"/>
      <c r="BG673" s="316">
        <f t="shared" si="49"/>
        <v>3</v>
      </c>
      <c r="BH673" s="319">
        <f t="shared" si="50"/>
        <v>1.8987341772151899E-2</v>
      </c>
      <c r="BI673" s="320">
        <f t="shared" si="51"/>
        <v>9.4936708860759497E-3</v>
      </c>
      <c r="BJ673" s="3"/>
      <c r="BK673" s="3"/>
      <c r="BL673" s="3"/>
      <c r="BM673" s="3"/>
      <c r="BN673" s="3"/>
      <c r="BO673" s="3"/>
      <c r="BT673" s="316">
        <f t="shared" si="52"/>
        <v>3</v>
      </c>
      <c r="BU673" s="319">
        <f t="shared" si="53"/>
        <v>1.8987341772151899E-2</v>
      </c>
      <c r="BV673" s="320">
        <f t="shared" si="54"/>
        <v>9.4936708860759497E-3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2836</v>
      </c>
      <c r="BB674" s="3"/>
      <c r="BC674" s="3"/>
      <c r="BD674" s="3"/>
      <c r="BE674" s="3"/>
      <c r="BF674" s="218"/>
      <c r="BG674" s="316">
        <f t="shared" si="49"/>
        <v>25</v>
      </c>
      <c r="BH674" s="319">
        <f t="shared" si="50"/>
        <v>0.15822784810126583</v>
      </c>
      <c r="BI674" s="320">
        <f t="shared" si="51"/>
        <v>9.49367088607595E-2</v>
      </c>
      <c r="BJ674" s="3"/>
      <c r="BK674" s="3"/>
      <c r="BL674" s="3"/>
      <c r="BM674" s="3"/>
      <c r="BN674" s="3"/>
      <c r="BO674" s="3"/>
      <c r="BT674" s="316">
        <f t="shared" si="52"/>
        <v>25</v>
      </c>
      <c r="BU674" s="319">
        <f t="shared" si="53"/>
        <v>0.15822784810126583</v>
      </c>
      <c r="BV674" s="320">
        <f t="shared" si="54"/>
        <v>9.4959025905625674E-2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71">
        <f>C635</f>
        <v>0</v>
      </c>
      <c r="H675" s="1371"/>
      <c r="I675" s="1371"/>
      <c r="J675" s="1371"/>
      <c r="K675" s="1371"/>
      <c r="L675" s="1371"/>
      <c r="M675" s="1371"/>
      <c r="N675" s="1371"/>
      <c r="O675" s="1371"/>
      <c r="P675" s="1371"/>
      <c r="Q675" s="1371"/>
      <c r="R675" s="1371"/>
      <c r="T675" s="55" t="s">
        <v>654</v>
      </c>
      <c r="U675" t="s">
        <v>471</v>
      </c>
      <c r="Z675" s="1371">
        <f>C636</f>
        <v>0</v>
      </c>
      <c r="AA675" s="1371"/>
      <c r="AB675" s="1371"/>
      <c r="AC675" s="1371"/>
      <c r="AD675" s="1371"/>
      <c r="AE675" s="1371"/>
      <c r="AF675" s="1371"/>
      <c r="AG675" s="1371"/>
      <c r="AH675" s="1371"/>
      <c r="AI675" s="1371"/>
      <c r="AJ675" s="1371"/>
      <c r="AK675" s="1371"/>
      <c r="AZ675" s="3"/>
      <c r="BA675" s="118">
        <f t="shared" si="48"/>
        <v>3278</v>
      </c>
      <c r="BB675" s="3"/>
      <c r="BC675" s="3"/>
      <c r="BD675" s="3"/>
      <c r="BE675" s="3"/>
      <c r="BF675" s="218"/>
      <c r="BG675" s="316">
        <f t="shared" si="49"/>
        <v>4</v>
      </c>
      <c r="BH675" s="319">
        <f t="shared" si="50"/>
        <v>2.5316455696202531E-2</v>
      </c>
      <c r="BI675" s="320">
        <f t="shared" si="51"/>
        <v>1.7721518987341769E-2</v>
      </c>
      <c r="BJ675" s="3"/>
      <c r="BK675" s="3"/>
      <c r="BL675" s="3"/>
      <c r="BM675" s="3"/>
      <c r="BN675" s="3"/>
      <c r="BO675" s="3"/>
      <c r="BT675" s="316">
        <f t="shared" si="52"/>
        <v>4</v>
      </c>
      <c r="BU675" s="319">
        <f t="shared" si="53"/>
        <v>2.5316455696202531E-2</v>
      </c>
      <c r="BV675" s="320">
        <f t="shared" si="54"/>
        <v>1.7728660441698952E-2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60"/>
      <c r="H676" s="1360"/>
      <c r="I676" s="1360"/>
      <c r="J676" s="1360"/>
      <c r="K676" s="1360"/>
      <c r="L676" s="1360"/>
      <c r="M676" s="1360"/>
      <c r="N676" s="1360"/>
      <c r="O676" s="1360"/>
      <c r="P676" s="1360"/>
      <c r="Q676" s="1360"/>
      <c r="R676" s="1360"/>
      <c r="T676" s="22"/>
      <c r="U676" t="s">
        <v>85</v>
      </c>
      <c r="Z676" s="1360"/>
      <c r="AA676" s="1360"/>
      <c r="AB676" s="1360"/>
      <c r="AC676" s="1360"/>
      <c r="AD676" s="1360"/>
      <c r="AE676" s="1360"/>
      <c r="AF676" s="1360"/>
      <c r="AG676" s="1360"/>
      <c r="AH676" s="1360"/>
      <c r="AI676" s="1360"/>
      <c r="AJ676" s="1360"/>
      <c r="AK676" s="1360"/>
      <c r="AZ676" s="3"/>
      <c r="BA676" s="118">
        <f t="shared" si="48"/>
        <v>3278</v>
      </c>
      <c r="BB676" s="3"/>
      <c r="BC676" s="3"/>
      <c r="BD676" s="3"/>
      <c r="BE676" s="3"/>
      <c r="BF676" s="218"/>
      <c r="BG676" s="316">
        <f t="shared" si="49"/>
        <v>10</v>
      </c>
      <c r="BH676" s="319">
        <f t="shared" si="50"/>
        <v>6.3291139240506333E-2</v>
      </c>
      <c r="BI676" s="320">
        <f t="shared" si="51"/>
        <v>1.8987341772151899E-2</v>
      </c>
      <c r="BJ676" s="3"/>
      <c r="BK676" s="3"/>
      <c r="BL676" s="3"/>
      <c r="BM676" s="3"/>
      <c r="BN676" s="3"/>
      <c r="BO676" s="3"/>
      <c r="BT676" s="316">
        <f t="shared" si="52"/>
        <v>10</v>
      </c>
      <c r="BU676" s="319">
        <f t="shared" si="53"/>
        <v>6.3291139240506333E-2</v>
      </c>
      <c r="BV676" s="320">
        <f t="shared" si="54"/>
        <v>1.8979618631304981E-2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60"/>
      <c r="H677" s="1360"/>
      <c r="I677" s="1360"/>
      <c r="J677" s="1360"/>
      <c r="K677" s="1360"/>
      <c r="L677" s="1360"/>
      <c r="M677" s="1360"/>
      <c r="N677" s="1360"/>
      <c r="O677" s="1360"/>
      <c r="P677" s="1360"/>
      <c r="Q677" s="1360"/>
      <c r="R677" s="1360"/>
      <c r="T677" s="22"/>
      <c r="U677" t="s">
        <v>588</v>
      </c>
      <c r="Z677" s="1362"/>
      <c r="AA677" s="1362"/>
      <c r="AB677" s="1362"/>
      <c r="AC677" s="1362"/>
      <c r="AD677" s="1362"/>
      <c r="AE677" s="1362"/>
      <c r="AF677" s="1362"/>
      <c r="AG677" s="1362"/>
      <c r="AH677" s="1362"/>
      <c r="AI677" s="1362"/>
      <c r="AJ677" s="1362"/>
      <c r="AK677" s="1362"/>
      <c r="AZ677" s="3"/>
      <c r="BA677" s="118">
        <f t="shared" si="48"/>
        <v>3278</v>
      </c>
      <c r="BB677" s="3"/>
      <c r="BC677" s="3"/>
      <c r="BD677" s="3"/>
      <c r="BE677" s="3"/>
      <c r="BF677" s="218"/>
      <c r="BG677" s="316">
        <f t="shared" si="49"/>
        <v>3</v>
      </c>
      <c r="BH677" s="319">
        <f t="shared" si="50"/>
        <v>1.8987341772151899E-2</v>
      </c>
      <c r="BI677" s="320">
        <f t="shared" si="51"/>
        <v>9.4936708860759497E-3</v>
      </c>
      <c r="BJ677" s="3"/>
      <c r="BK677" s="3"/>
      <c r="BL677" s="3"/>
      <c r="BM677" s="3"/>
      <c r="BN677" s="3"/>
      <c r="BO677" s="3"/>
      <c r="BT677" s="316">
        <f t="shared" si="52"/>
        <v>3</v>
      </c>
      <c r="BU677" s="319">
        <f t="shared" si="53"/>
        <v>1.8987341772151899E-2</v>
      </c>
      <c r="BV677" s="320">
        <f t="shared" si="54"/>
        <v>9.4936708860759497E-3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60"/>
      <c r="H678" s="1360"/>
      <c r="I678" s="1360"/>
      <c r="J678" s="1360"/>
      <c r="K678" s="1360"/>
      <c r="L678" s="1360"/>
      <c r="M678" s="1360"/>
      <c r="N678" s="1360"/>
      <c r="O678" s="1360"/>
      <c r="P678" s="1360"/>
      <c r="Q678" s="1360"/>
      <c r="R678" s="1360"/>
      <c r="T678" s="22"/>
      <c r="U678" t="s">
        <v>17</v>
      </c>
      <c r="Z678" s="1362"/>
      <c r="AA678" s="1362"/>
      <c r="AB678" s="1362"/>
      <c r="AC678" s="1362"/>
      <c r="AD678" s="1362"/>
      <c r="AE678" s="1362"/>
      <c r="AF678" s="1362"/>
      <c r="AG678" s="1362"/>
      <c r="AH678" s="1362"/>
      <c r="AI678" s="1362"/>
      <c r="AJ678" s="1362"/>
      <c r="AK678" s="1362"/>
      <c r="AZ678" s="3"/>
      <c r="BA678" s="118">
        <f t="shared" si="48"/>
        <v>3278</v>
      </c>
      <c r="BB678" s="3"/>
      <c r="BC678" s="3"/>
      <c r="BD678" s="3"/>
      <c r="BE678" s="3"/>
      <c r="BF678" s="218"/>
      <c r="BG678" s="316">
        <f t="shared" si="49"/>
        <v>23</v>
      </c>
      <c r="BH678" s="319">
        <f t="shared" si="50"/>
        <v>0.14556962025316456</v>
      </c>
      <c r="BI678" s="320">
        <f t="shared" si="51"/>
        <v>8.7341772151898728E-2</v>
      </c>
      <c r="BJ678" s="3"/>
      <c r="BK678" s="3"/>
      <c r="BL678" s="3"/>
      <c r="BM678" s="3"/>
      <c r="BN678" s="3"/>
      <c r="BO678" s="3"/>
      <c r="BT678" s="316">
        <f t="shared" si="52"/>
        <v>23</v>
      </c>
      <c r="BU678" s="319">
        <f t="shared" si="53"/>
        <v>0.14556962025316456</v>
      </c>
      <c r="BV678" s="320">
        <f t="shared" si="54"/>
        <v>8.7350653763872688E-2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78"/>
      <c r="H679" s="1378"/>
      <c r="I679" s="1378"/>
      <c r="J679" s="1378"/>
      <c r="K679" s="1378"/>
      <c r="L679" s="1378"/>
      <c r="O679" s="33" t="s">
        <v>206</v>
      </c>
      <c r="P679" s="1367"/>
      <c r="Q679" s="1367"/>
      <c r="R679" s="1367"/>
      <c r="T679" s="22"/>
      <c r="U679" t="s">
        <v>316</v>
      </c>
      <c r="Z679" s="1378"/>
      <c r="AA679" s="1378"/>
      <c r="AB679" s="1378"/>
      <c r="AC679" s="1378"/>
      <c r="AD679" s="1378"/>
      <c r="AE679" s="1378"/>
      <c r="AH679" s="33" t="s">
        <v>206</v>
      </c>
      <c r="AI679" s="1367"/>
      <c r="AJ679" s="1367"/>
      <c r="AK679" s="1367"/>
      <c r="AZ679" s="3"/>
      <c r="BA679" s="118" t="str">
        <f t="shared" si="48"/>
        <v>N/A</v>
      </c>
      <c r="BB679" s="3"/>
      <c r="BC679" s="3"/>
      <c r="BD679" s="3"/>
      <c r="BE679" s="3"/>
      <c r="BF679" s="218"/>
      <c r="BG679" s="316">
        <f t="shared" si="49"/>
        <v>4</v>
      </c>
      <c r="BH679" s="319">
        <f t="shared" si="50"/>
        <v>2.5316455696202531E-2</v>
      </c>
      <c r="BI679" s="320">
        <f t="shared" si="51"/>
        <v>1.7721518987341769E-2</v>
      </c>
      <c r="BJ679" s="3"/>
      <c r="BK679" s="3"/>
      <c r="BL679" s="3"/>
      <c r="BM679" s="3"/>
      <c r="BN679" s="3"/>
      <c r="BO679" s="3"/>
      <c r="BT679" s="316">
        <f t="shared" si="52"/>
        <v>4</v>
      </c>
      <c r="BU679" s="319">
        <f t="shared" si="53"/>
        <v>2.5316455696202531E-2</v>
      </c>
      <c r="BV679" s="320">
        <f t="shared" si="54"/>
        <v>1.7724608243680537E-2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60"/>
      <c r="I680" s="1360"/>
      <c r="J680" s="1360"/>
      <c r="K680" s="1360"/>
      <c r="L680" s="1360"/>
      <c r="M680" s="1360"/>
      <c r="N680" s="1360"/>
      <c r="O680" s="1360"/>
      <c r="P680" s="1360"/>
      <c r="Q680" s="1360"/>
      <c r="R680" s="1360"/>
      <c r="T680" s="22"/>
      <c r="U680" t="s">
        <v>18</v>
      </c>
      <c r="AA680" s="1360"/>
      <c r="AB680" s="1360"/>
      <c r="AC680" s="1360"/>
      <c r="AD680" s="1360"/>
      <c r="AE680" s="1360"/>
      <c r="AF680" s="1360"/>
      <c r="AG680" s="1360"/>
      <c r="AH680" s="1360"/>
      <c r="AI680" s="1360"/>
      <c r="AJ680" s="1360"/>
      <c r="AK680" s="136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6" t="s">
        <v>677</v>
      </c>
      <c r="O681" s="1366"/>
      <c r="T681" s="22"/>
      <c r="U681" t="s">
        <v>20</v>
      </c>
      <c r="AG681" s="1366" t="s">
        <v>677</v>
      </c>
      <c r="AH681" s="136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371">
        <f>C637</f>
        <v>0</v>
      </c>
      <c r="H683" s="1371"/>
      <c r="I683" s="1371"/>
      <c r="J683" s="1371"/>
      <c r="K683" s="1371"/>
      <c r="L683" s="1371"/>
      <c r="M683" s="1371"/>
      <c r="N683" s="1371"/>
      <c r="O683" s="1371"/>
      <c r="P683" s="1371"/>
      <c r="Q683" s="1371"/>
      <c r="R683" s="1371"/>
      <c r="T683" s="55" t="s">
        <v>363</v>
      </c>
      <c r="U683" t="s">
        <v>471</v>
      </c>
      <c r="Z683" s="1371">
        <f>C638</f>
        <v>0</v>
      </c>
      <c r="AA683" s="1371"/>
      <c r="AB683" s="1371"/>
      <c r="AC683" s="1371"/>
      <c r="AD683" s="1371"/>
      <c r="AE683" s="1371"/>
      <c r="AF683" s="1371"/>
      <c r="AG683" s="1371"/>
      <c r="AH683" s="1371"/>
      <c r="AI683" s="1371"/>
      <c r="AJ683" s="1371"/>
      <c r="AK683" s="137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60"/>
      <c r="H684" s="1360"/>
      <c r="I684" s="1360"/>
      <c r="J684" s="1360"/>
      <c r="K684" s="1360"/>
      <c r="L684" s="1360"/>
      <c r="M684" s="1360"/>
      <c r="N684" s="1360"/>
      <c r="O684" s="1360"/>
      <c r="P684" s="1360"/>
      <c r="Q684" s="1360"/>
      <c r="R684" s="1360"/>
      <c r="T684" s="22"/>
      <c r="U684" t="s">
        <v>85</v>
      </c>
      <c r="Z684" s="1360"/>
      <c r="AA684" s="1360"/>
      <c r="AB684" s="1360"/>
      <c r="AC684" s="1360"/>
      <c r="AD684" s="1360"/>
      <c r="AE684" s="1360"/>
      <c r="AF684" s="1360"/>
      <c r="AG684" s="1360"/>
      <c r="AH684" s="1360"/>
      <c r="AI684" s="1360"/>
      <c r="AJ684" s="1360"/>
      <c r="AK684" s="136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60"/>
      <c r="H685" s="1360"/>
      <c r="I685" s="1360"/>
      <c r="J685" s="1360"/>
      <c r="K685" s="1360"/>
      <c r="L685" s="1360"/>
      <c r="M685" s="1360"/>
      <c r="N685" s="1360"/>
      <c r="O685" s="1360"/>
      <c r="P685" s="1360"/>
      <c r="Q685" s="1360"/>
      <c r="R685" s="1360"/>
      <c r="U685" t="s">
        <v>588</v>
      </c>
      <c r="Z685" s="1362"/>
      <c r="AA685" s="1362"/>
      <c r="AB685" s="1362"/>
      <c r="AC685" s="1362"/>
      <c r="AD685" s="1362"/>
      <c r="AE685" s="1362"/>
      <c r="AF685" s="1362"/>
      <c r="AG685" s="1362"/>
      <c r="AH685" s="1362"/>
      <c r="AI685" s="1362"/>
      <c r="AJ685" s="1362"/>
      <c r="AK685" s="13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60"/>
      <c r="H686" s="1360"/>
      <c r="I686" s="1360"/>
      <c r="J686" s="1360"/>
      <c r="K686" s="1360"/>
      <c r="L686" s="1360"/>
      <c r="M686" s="1360"/>
      <c r="N686" s="1360"/>
      <c r="O686" s="1360"/>
      <c r="P686" s="1360"/>
      <c r="Q686" s="1360"/>
      <c r="R686" s="1360"/>
      <c r="U686" t="s">
        <v>17</v>
      </c>
      <c r="Z686" s="1362"/>
      <c r="AA686" s="1362"/>
      <c r="AB686" s="1362"/>
      <c r="AC686" s="1362"/>
      <c r="AD686" s="1362"/>
      <c r="AE686" s="1362"/>
      <c r="AF686" s="1362"/>
      <c r="AG686" s="1362"/>
      <c r="AH686" s="1362"/>
      <c r="AI686" s="1362"/>
      <c r="AJ686" s="1362"/>
      <c r="AK686" s="13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78"/>
      <c r="H687" s="1378"/>
      <c r="I687" s="1378"/>
      <c r="J687" s="1378"/>
      <c r="K687" s="1378"/>
      <c r="L687" s="1378"/>
      <c r="O687" s="33" t="s">
        <v>206</v>
      </c>
      <c r="P687" s="1367"/>
      <c r="Q687" s="1367"/>
      <c r="R687" s="1367"/>
      <c r="U687" t="s">
        <v>316</v>
      </c>
      <c r="Z687" s="1378"/>
      <c r="AA687" s="1378"/>
      <c r="AB687" s="1378"/>
      <c r="AC687" s="1378"/>
      <c r="AD687" s="1378"/>
      <c r="AE687" s="1378"/>
      <c r="AH687" s="33" t="s">
        <v>206</v>
      </c>
      <c r="AI687" s="1367"/>
      <c r="AJ687" s="1367"/>
      <c r="AK687" s="136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60"/>
      <c r="I688" s="1360"/>
      <c r="J688" s="1360"/>
      <c r="K688" s="1360"/>
      <c r="L688" s="1360"/>
      <c r="M688" s="1360"/>
      <c r="N688" s="1360"/>
      <c r="O688" s="1360"/>
      <c r="P688" s="1360"/>
      <c r="Q688" s="1360"/>
      <c r="R688" s="1360"/>
      <c r="U688" t="s">
        <v>18</v>
      </c>
      <c r="AA688" s="1360"/>
      <c r="AB688" s="1360"/>
      <c r="AC688" s="1360"/>
      <c r="AD688" s="1360"/>
      <c r="AE688" s="1360"/>
      <c r="AF688" s="1360"/>
      <c r="AG688" s="1360"/>
      <c r="AH688" s="1360"/>
      <c r="AI688" s="1360"/>
      <c r="AJ688" s="1360"/>
      <c r="AK688" s="136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6" t="s">
        <v>677</v>
      </c>
      <c r="O689" s="1366"/>
      <c r="U689" t="s">
        <v>20</v>
      </c>
      <c r="AG689" s="1366" t="s">
        <v>677</v>
      </c>
      <c r="AH689" s="136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66" t="s">
        <v>553</v>
      </c>
      <c r="AF693" s="136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66" t="s">
        <v>677</v>
      </c>
      <c r="AF694" s="136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46">
        <v>45405</v>
      </c>
      <c r="AF695" s="1546"/>
      <c r="AG695" s="1546"/>
      <c r="AH695" s="1546"/>
      <c r="AI695" s="154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824">
        <v>45511</v>
      </c>
      <c r="AF696" s="1824"/>
      <c r="AG696" s="1824"/>
      <c r="AH696" s="1824"/>
      <c r="AI696" s="182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6">
        <v>45689</v>
      </c>
      <c r="AF698" s="1546"/>
      <c r="AG698" s="1546"/>
      <c r="AH698" s="1546"/>
      <c r="AI698" s="154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0">
        <v>0.50090000000000001</v>
      </c>
      <c r="AF699" s="1570"/>
      <c r="AG699" s="1570"/>
      <c r="AH699" s="1570"/>
      <c r="AI699" s="15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371" t="str">
        <f>H335</f>
        <v>California Housing Finance Agency</v>
      </c>
      <c r="X700" s="1371"/>
      <c r="Y700" s="1371"/>
      <c r="Z700" s="1371"/>
      <c r="AA700" s="1371"/>
      <c r="AB700" s="1371"/>
      <c r="AC700" s="1371"/>
      <c r="AD700" s="1371"/>
      <c r="AE700" s="1371"/>
      <c r="AF700" s="1371"/>
      <c r="AG700" s="1371"/>
      <c r="AH700" s="1371"/>
      <c r="AI700" s="1371"/>
      <c r="AJ700" s="1371"/>
      <c r="AK700" s="137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66" t="s">
        <v>677</v>
      </c>
      <c r="AF702" s="136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60"/>
      <c r="X703" s="1360"/>
      <c r="Y703" s="1360"/>
      <c r="Z703" s="1360"/>
      <c r="AA703" s="1360"/>
      <c r="AB703" s="1360"/>
      <c r="AC703" s="1360"/>
      <c r="AD703" s="1360"/>
      <c r="AE703" s="1360"/>
      <c r="AF703" s="1360"/>
      <c r="AG703" s="1360"/>
      <c r="AH703" s="1360"/>
      <c r="AI703" s="1360"/>
      <c r="AJ703" s="1360"/>
      <c r="AK703" s="1360"/>
      <c r="AZ703" s="34"/>
      <c r="BA703" s="34"/>
      <c r="BB703" s="34"/>
      <c r="BC703" s="34"/>
      <c r="BD703" s="34"/>
      <c r="BE703" s="3"/>
      <c r="BF703" s="312" t="s">
        <v>912</v>
      </c>
      <c r="BG703" s="321">
        <f>SUM(BG668:BG702)</f>
        <v>158</v>
      </c>
      <c r="BH703" s="322">
        <f>SUM(BH668:BH702)</f>
        <v>1</v>
      </c>
      <c r="BI703" s="322">
        <f>SUM(BI668:BI702)</f>
        <v>0.52658227848101258</v>
      </c>
      <c r="BN703" s="3"/>
      <c r="BO703" s="3"/>
      <c r="BT703" s="893">
        <f>SUM(BT668:BT702)</f>
        <v>158</v>
      </c>
      <c r="BU703" s="322">
        <f>SUM(BU668:BU702)</f>
        <v>1</v>
      </c>
      <c r="BV703" s="322">
        <f>SUM(BV668:BV702)</f>
        <v>0.52668149033218625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60"/>
      <c r="K704" s="1360"/>
      <c r="L704" s="1360"/>
      <c r="M704" s="1360"/>
      <c r="N704" s="1360"/>
      <c r="O704" s="1360"/>
      <c r="P704" s="1360"/>
      <c r="Q704" s="1360"/>
      <c r="R704" s="1360"/>
      <c r="S704" s="1360"/>
      <c r="T704" s="1360"/>
      <c r="U704" s="1360"/>
      <c r="V704" s="1360"/>
      <c r="W704" s="1360"/>
      <c r="X704" s="136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78"/>
      <c r="K705" s="1378"/>
      <c r="L705" s="1378"/>
      <c r="M705" s="1378"/>
      <c r="N705" s="1378"/>
      <c r="O705" s="1378"/>
      <c r="P705" s="4" t="s">
        <v>206</v>
      </c>
      <c r="Q705" s="4"/>
      <c r="R705" s="1367"/>
      <c r="S705" s="1367"/>
      <c r="T705" s="136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60" t="s">
        <v>307</v>
      </c>
      <c r="X706" s="1360"/>
      <c r="Y706" s="1360"/>
      <c r="Z706" s="1360"/>
      <c r="AA706" s="1360"/>
      <c r="AB706" s="1360"/>
      <c r="AC706" s="1360"/>
      <c r="AD706" s="1360"/>
      <c r="AE706" s="1360"/>
      <c r="AF706" s="1360"/>
      <c r="AG706" s="1360"/>
      <c r="AH706" s="1360"/>
      <c r="AI706" s="1360"/>
      <c r="AJ706" s="1360"/>
      <c r="AK706" s="136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60" t="s">
        <v>334</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5" t="s">
        <v>389</v>
      </c>
      <c r="C714" s="1586"/>
      <c r="D714" s="1586"/>
      <c r="E714" s="1586"/>
      <c r="F714" s="1587"/>
      <c r="G714" s="1585" t="s">
        <v>285</v>
      </c>
      <c r="H714" s="1586"/>
      <c r="I714" s="1586"/>
      <c r="J714" s="1587"/>
      <c r="K714" s="1421" t="s">
        <v>1862</v>
      </c>
      <c r="L714" s="1422"/>
      <c r="M714" s="1422"/>
      <c r="N714" s="1423"/>
      <c r="O714" s="1585" t="s">
        <v>455</v>
      </c>
      <c r="P714" s="1586"/>
      <c r="Q714" s="1586"/>
      <c r="R714" s="1586"/>
      <c r="S714" s="1587"/>
      <c r="T714" s="1699" t="s">
        <v>2241</v>
      </c>
      <c r="U714" s="1586"/>
      <c r="V714" s="1586"/>
      <c r="W714" s="1587"/>
      <c r="X714" s="1699" t="s">
        <v>2243</v>
      </c>
      <c r="Y714" s="1586"/>
      <c r="Z714" s="1586"/>
      <c r="AA714" s="1586"/>
      <c r="AB714" s="1587"/>
      <c r="AC714" s="1699" t="s">
        <v>2242</v>
      </c>
      <c r="AD714" s="1586"/>
      <c r="AE714" s="1586"/>
      <c r="AF714" s="1586"/>
      <c r="AG714" s="1587"/>
      <c r="AH714" s="1699" t="s">
        <v>2244</v>
      </c>
      <c r="AI714" s="1586"/>
      <c r="AJ714" s="1587"/>
      <c r="AK714" s="1699" t="s">
        <v>2278</v>
      </c>
      <c r="AL714" s="1586"/>
      <c r="AM714" s="1586"/>
      <c r="AN714" s="1586"/>
      <c r="AO714" s="15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88"/>
      <c r="C715" s="1589"/>
      <c r="D715" s="1589"/>
      <c r="E715" s="1589"/>
      <c r="F715" s="1590"/>
      <c r="G715" s="1588"/>
      <c r="H715" s="1589"/>
      <c r="I715" s="1589"/>
      <c r="J715" s="1590"/>
      <c r="K715" s="1424"/>
      <c r="L715" s="1425"/>
      <c r="M715" s="1425"/>
      <c r="N715" s="1426"/>
      <c r="O715" s="1588"/>
      <c r="P715" s="1589"/>
      <c r="Q715" s="1589"/>
      <c r="R715" s="1589"/>
      <c r="S715" s="1590"/>
      <c r="T715" s="1588"/>
      <c r="U715" s="1589"/>
      <c r="V715" s="1589"/>
      <c r="W715" s="1590"/>
      <c r="X715" s="1588"/>
      <c r="Y715" s="1589"/>
      <c r="Z715" s="1589"/>
      <c r="AA715" s="1589"/>
      <c r="AB715" s="1590"/>
      <c r="AC715" s="1588"/>
      <c r="AD715" s="1589"/>
      <c r="AE715" s="1589"/>
      <c r="AF715" s="1589"/>
      <c r="AG715" s="1590"/>
      <c r="AH715" s="1588"/>
      <c r="AI715" s="1589"/>
      <c r="AJ715" s="1590"/>
      <c r="AK715" s="1588"/>
      <c r="AL715" s="1589"/>
      <c r="AM715" s="1589"/>
      <c r="AN715" s="1589"/>
      <c r="AO715" s="15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88"/>
      <c r="C716" s="1589"/>
      <c r="D716" s="1589"/>
      <c r="E716" s="1589"/>
      <c r="F716" s="1590"/>
      <c r="G716" s="1588"/>
      <c r="H716" s="1589"/>
      <c r="I716" s="1589"/>
      <c r="J716" s="1590"/>
      <c r="K716" s="1424"/>
      <c r="L716" s="1425"/>
      <c r="M716" s="1425"/>
      <c r="N716" s="1426"/>
      <c r="O716" s="1588"/>
      <c r="P716" s="1589"/>
      <c r="Q716" s="1589"/>
      <c r="R716" s="1589"/>
      <c r="S716" s="1590"/>
      <c r="T716" s="1588"/>
      <c r="U716" s="1589"/>
      <c r="V716" s="1589"/>
      <c r="W716" s="1590"/>
      <c r="X716" s="1588"/>
      <c r="Y716" s="1589"/>
      <c r="Z716" s="1589"/>
      <c r="AA716" s="1589"/>
      <c r="AB716" s="1590"/>
      <c r="AC716" s="1588"/>
      <c r="AD716" s="1589"/>
      <c r="AE716" s="1589"/>
      <c r="AF716" s="1589"/>
      <c r="AG716" s="1590"/>
      <c r="AH716" s="1588"/>
      <c r="AI716" s="1589"/>
      <c r="AJ716" s="1590"/>
      <c r="AK716" s="1588"/>
      <c r="AL716" s="1589"/>
      <c r="AM716" s="1589"/>
      <c r="AN716" s="1589"/>
      <c r="AO716" s="159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91"/>
      <c r="C717" s="1592"/>
      <c r="D717" s="1592"/>
      <c r="E717" s="1592"/>
      <c r="F717" s="1593"/>
      <c r="G717" s="1591"/>
      <c r="H717" s="1592"/>
      <c r="I717" s="1592"/>
      <c r="J717" s="1593"/>
      <c r="K717" s="1424"/>
      <c r="L717" s="1425"/>
      <c r="M717" s="1425"/>
      <c r="N717" s="1426"/>
      <c r="O717" s="1591"/>
      <c r="P717" s="1592"/>
      <c r="Q717" s="1592"/>
      <c r="R717" s="1592"/>
      <c r="S717" s="1593"/>
      <c r="T717" s="1591"/>
      <c r="U717" s="1592"/>
      <c r="V717" s="1592"/>
      <c r="W717" s="1593"/>
      <c r="X717" s="1591"/>
      <c r="Y717" s="1592"/>
      <c r="Z717" s="1592"/>
      <c r="AA717" s="1592"/>
      <c r="AB717" s="1593"/>
      <c r="AC717" s="1591"/>
      <c r="AD717" s="1592"/>
      <c r="AE717" s="1592"/>
      <c r="AF717" s="1592"/>
      <c r="AG717" s="1593"/>
      <c r="AH717" s="1591"/>
      <c r="AI717" s="1592"/>
      <c r="AJ717" s="1593"/>
      <c r="AK717" s="1591"/>
      <c r="AL717" s="1592"/>
      <c r="AM717" s="1592"/>
      <c r="AN717" s="1592"/>
      <c r="AO717" s="159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325</v>
      </c>
      <c r="C718" s="1355"/>
      <c r="D718" s="1355"/>
      <c r="E718" s="1355"/>
      <c r="F718" s="1356"/>
      <c r="G718" s="1567">
        <v>20</v>
      </c>
      <c r="H718" s="1568"/>
      <c r="I718" s="1568"/>
      <c r="J718" s="1569"/>
      <c r="K718" s="1363">
        <v>575</v>
      </c>
      <c r="L718" s="1364"/>
      <c r="M718" s="1364"/>
      <c r="N718" s="1365"/>
      <c r="O718" s="1427">
        <v>631</v>
      </c>
      <c r="P718" s="1428"/>
      <c r="Q718" s="1428"/>
      <c r="R718" s="1428"/>
      <c r="S718" s="1429"/>
      <c r="T718" s="1427">
        <v>78</v>
      </c>
      <c r="U718" s="1428"/>
      <c r="V718" s="1428"/>
      <c r="W718" s="1429"/>
      <c r="X718" s="1357">
        <f t="shared" ref="X718:X741" si="59">O718+T718</f>
        <v>709</v>
      </c>
      <c r="Y718" s="1358"/>
      <c r="Z718" s="1358"/>
      <c r="AA718" s="1358"/>
      <c r="AB718" s="1359"/>
      <c r="AC718" s="1509">
        <v>0.3</v>
      </c>
      <c r="AD718" s="1510"/>
      <c r="AE718" s="1510"/>
      <c r="AF718" s="1510"/>
      <c r="AG718" s="1511"/>
      <c r="AH718" s="1375">
        <f t="shared" ref="AH718:AH751" si="60">IF($AC718&gt;0,($X718/$BA667), "")</f>
        <v>0.29991539763113367</v>
      </c>
      <c r="AI718" s="1376"/>
      <c r="AJ718" s="1377"/>
      <c r="AK718" s="1354" t="s">
        <v>599</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325</v>
      </c>
      <c r="C719" s="1355"/>
      <c r="D719" s="1355"/>
      <c r="E719" s="1355"/>
      <c r="F719" s="1356"/>
      <c r="G719" s="1567">
        <v>6</v>
      </c>
      <c r="H719" s="1568"/>
      <c r="I719" s="1568"/>
      <c r="J719" s="1569"/>
      <c r="K719" s="1363">
        <v>575</v>
      </c>
      <c r="L719" s="1364"/>
      <c r="M719" s="1364"/>
      <c r="N719" s="1365"/>
      <c r="O719" s="1427">
        <v>1104</v>
      </c>
      <c r="P719" s="1428"/>
      <c r="Q719" s="1428"/>
      <c r="R719" s="1428"/>
      <c r="S719" s="1429"/>
      <c r="T719" s="1427">
        <v>78</v>
      </c>
      <c r="U719" s="1428"/>
      <c r="V719" s="1428"/>
      <c r="W719" s="1429"/>
      <c r="X719" s="1357">
        <f t="shared" si="59"/>
        <v>1182</v>
      </c>
      <c r="Y719" s="1358"/>
      <c r="Z719" s="1358"/>
      <c r="AA719" s="1358"/>
      <c r="AB719" s="1359"/>
      <c r="AC719" s="1509">
        <v>0.5</v>
      </c>
      <c r="AD719" s="1510"/>
      <c r="AE719" s="1510"/>
      <c r="AF719" s="1510"/>
      <c r="AG719" s="1511"/>
      <c r="AH719" s="1375">
        <f t="shared" si="60"/>
        <v>0.5</v>
      </c>
      <c r="AI719" s="1376"/>
      <c r="AJ719" s="1377"/>
      <c r="AK719" s="1354" t="s">
        <v>599</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325</v>
      </c>
      <c r="C720" s="1355"/>
      <c r="D720" s="1355"/>
      <c r="E720" s="1355"/>
      <c r="F720" s="1356"/>
      <c r="G720" s="1567">
        <v>42</v>
      </c>
      <c r="H720" s="1568"/>
      <c r="I720" s="1568"/>
      <c r="J720" s="1569"/>
      <c r="K720" s="1363">
        <v>575</v>
      </c>
      <c r="L720" s="1364"/>
      <c r="M720" s="1364"/>
      <c r="N720" s="1365"/>
      <c r="O720" s="1427">
        <v>1341</v>
      </c>
      <c r="P720" s="1428"/>
      <c r="Q720" s="1428"/>
      <c r="R720" s="1428"/>
      <c r="S720" s="1429"/>
      <c r="T720" s="1427">
        <v>78</v>
      </c>
      <c r="U720" s="1428"/>
      <c r="V720" s="1428"/>
      <c r="W720" s="1429"/>
      <c r="X720" s="1357">
        <f t="shared" si="59"/>
        <v>1419</v>
      </c>
      <c r="Y720" s="1358"/>
      <c r="Z720" s="1358"/>
      <c r="AA720" s="1358"/>
      <c r="AB720" s="1359"/>
      <c r="AC720" s="1509">
        <v>0.6</v>
      </c>
      <c r="AD720" s="1510"/>
      <c r="AE720" s="1510"/>
      <c r="AF720" s="1510"/>
      <c r="AG720" s="1511"/>
      <c r="AH720" s="1375">
        <f t="shared" si="60"/>
        <v>0.60025380710659904</v>
      </c>
      <c r="AI720" s="1376"/>
      <c r="AJ720" s="1377"/>
      <c r="AK720" s="1354" t="s">
        <v>599</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325</v>
      </c>
      <c r="C721" s="1355"/>
      <c r="D721" s="1355"/>
      <c r="E721" s="1355"/>
      <c r="F721" s="1356"/>
      <c r="G721" s="1567">
        <v>8</v>
      </c>
      <c r="H721" s="1568"/>
      <c r="I721" s="1568"/>
      <c r="J721" s="1569"/>
      <c r="K721" s="1363">
        <v>575</v>
      </c>
      <c r="L721" s="1364"/>
      <c r="M721" s="1364"/>
      <c r="N721" s="1365"/>
      <c r="O721" s="1427">
        <v>1577</v>
      </c>
      <c r="P721" s="1428"/>
      <c r="Q721" s="1428"/>
      <c r="R721" s="1428"/>
      <c r="S721" s="1429"/>
      <c r="T721" s="1427">
        <v>78</v>
      </c>
      <c r="U721" s="1428"/>
      <c r="V721" s="1428"/>
      <c r="W721" s="1429"/>
      <c r="X721" s="1357">
        <f t="shared" si="59"/>
        <v>1655</v>
      </c>
      <c r="Y721" s="1358"/>
      <c r="Z721" s="1358"/>
      <c r="AA721" s="1358"/>
      <c r="AB721" s="1359"/>
      <c r="AC721" s="1509">
        <v>0.7</v>
      </c>
      <c r="AD721" s="1510"/>
      <c r="AE721" s="1510"/>
      <c r="AF721" s="1510"/>
      <c r="AG721" s="1511"/>
      <c r="AH721" s="1375">
        <f t="shared" si="60"/>
        <v>0.70008460236886638</v>
      </c>
      <c r="AI721" s="1376"/>
      <c r="AJ721" s="1377"/>
      <c r="AK721" s="1354" t="s">
        <v>599</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163</v>
      </c>
      <c r="C722" s="1355"/>
      <c r="D722" s="1355"/>
      <c r="E722" s="1355"/>
      <c r="F722" s="1356"/>
      <c r="G722" s="1567">
        <v>10</v>
      </c>
      <c r="H722" s="1568"/>
      <c r="I722" s="1568"/>
      <c r="J722" s="1569"/>
      <c r="K722" s="1363">
        <v>778</v>
      </c>
      <c r="L722" s="1364"/>
      <c r="M722" s="1364"/>
      <c r="N722" s="1365"/>
      <c r="O722" s="1427">
        <v>753</v>
      </c>
      <c r="P722" s="1428"/>
      <c r="Q722" s="1428"/>
      <c r="R722" s="1428"/>
      <c r="S722" s="1429"/>
      <c r="T722" s="1427">
        <v>98</v>
      </c>
      <c r="U722" s="1428"/>
      <c r="V722" s="1428"/>
      <c r="W722" s="1429"/>
      <c r="X722" s="1357">
        <f t="shared" si="59"/>
        <v>851</v>
      </c>
      <c r="Y722" s="1358"/>
      <c r="Z722" s="1358"/>
      <c r="AA722" s="1358"/>
      <c r="AB722" s="1359"/>
      <c r="AC722" s="1509">
        <v>0.3</v>
      </c>
      <c r="AD722" s="1510"/>
      <c r="AE722" s="1510"/>
      <c r="AF722" s="1510"/>
      <c r="AG722" s="1511"/>
      <c r="AH722" s="1375">
        <f t="shared" si="60"/>
        <v>0.30007052186177713</v>
      </c>
      <c r="AI722" s="1376"/>
      <c r="AJ722" s="1377"/>
      <c r="AK722" s="1354" t="s">
        <v>599</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163</v>
      </c>
      <c r="C723" s="1355"/>
      <c r="D723" s="1355"/>
      <c r="E723" s="1355"/>
      <c r="F723" s="1356"/>
      <c r="G723" s="1567">
        <v>3</v>
      </c>
      <c r="H723" s="1568"/>
      <c r="I723" s="1568"/>
      <c r="J723" s="1569"/>
      <c r="K723" s="1363">
        <v>778</v>
      </c>
      <c r="L723" s="1364"/>
      <c r="M723" s="1364"/>
      <c r="N723" s="1365"/>
      <c r="O723" s="1427">
        <v>1320</v>
      </c>
      <c r="P723" s="1428"/>
      <c r="Q723" s="1428"/>
      <c r="R723" s="1428"/>
      <c r="S723" s="1429"/>
      <c r="T723" s="1427">
        <v>98</v>
      </c>
      <c r="U723" s="1428"/>
      <c r="V723" s="1428"/>
      <c r="W723" s="1429"/>
      <c r="X723" s="1357">
        <f t="shared" si="59"/>
        <v>1418</v>
      </c>
      <c r="Y723" s="1358"/>
      <c r="Z723" s="1358"/>
      <c r="AA723" s="1358"/>
      <c r="AB723" s="1359"/>
      <c r="AC723" s="1509">
        <v>0.5</v>
      </c>
      <c r="AD723" s="1510"/>
      <c r="AE723" s="1510"/>
      <c r="AF723" s="1510"/>
      <c r="AG723" s="1511"/>
      <c r="AH723" s="1375">
        <f t="shared" si="60"/>
        <v>0.5</v>
      </c>
      <c r="AI723" s="1376"/>
      <c r="AJ723" s="1377"/>
      <c r="AK723" s="1354" t="s">
        <v>599</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163</v>
      </c>
      <c r="C724" s="1355"/>
      <c r="D724" s="1355"/>
      <c r="E724" s="1355"/>
      <c r="F724" s="1356"/>
      <c r="G724" s="1567">
        <v>25</v>
      </c>
      <c r="H724" s="1568"/>
      <c r="I724" s="1568"/>
      <c r="J724" s="1569"/>
      <c r="K724" s="1363">
        <v>778</v>
      </c>
      <c r="L724" s="1364"/>
      <c r="M724" s="1364"/>
      <c r="N724" s="1365"/>
      <c r="O724" s="1427">
        <v>1604</v>
      </c>
      <c r="P724" s="1428"/>
      <c r="Q724" s="1428"/>
      <c r="R724" s="1428"/>
      <c r="S724" s="1429"/>
      <c r="T724" s="1427">
        <v>98</v>
      </c>
      <c r="U724" s="1428"/>
      <c r="V724" s="1428"/>
      <c r="W724" s="1429"/>
      <c r="X724" s="1357">
        <f t="shared" si="59"/>
        <v>1702</v>
      </c>
      <c r="Y724" s="1358"/>
      <c r="Z724" s="1358"/>
      <c r="AA724" s="1358"/>
      <c r="AB724" s="1359"/>
      <c r="AC724" s="1509">
        <v>0.6</v>
      </c>
      <c r="AD724" s="1510"/>
      <c r="AE724" s="1510"/>
      <c r="AF724" s="1510"/>
      <c r="AG724" s="1511"/>
      <c r="AH724" s="1375">
        <f t="shared" si="60"/>
        <v>0.60014104372355426</v>
      </c>
      <c r="AI724" s="1376"/>
      <c r="AJ724" s="1377"/>
      <c r="AK724" s="1354" t="s">
        <v>599</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163</v>
      </c>
      <c r="C725" s="1355"/>
      <c r="D725" s="1355"/>
      <c r="E725" s="1355"/>
      <c r="F725" s="1356"/>
      <c r="G725" s="1567">
        <v>4</v>
      </c>
      <c r="H725" s="1568"/>
      <c r="I725" s="1568"/>
      <c r="J725" s="1569"/>
      <c r="K725" s="1363">
        <v>778</v>
      </c>
      <c r="L725" s="1364"/>
      <c r="M725" s="1364"/>
      <c r="N725" s="1365"/>
      <c r="O725" s="1427">
        <v>1888</v>
      </c>
      <c r="P725" s="1428"/>
      <c r="Q725" s="1428"/>
      <c r="R725" s="1428"/>
      <c r="S725" s="1429"/>
      <c r="T725" s="1427">
        <v>98</v>
      </c>
      <c r="U725" s="1428"/>
      <c r="V725" s="1428"/>
      <c r="W725" s="1429"/>
      <c r="X725" s="1357">
        <f t="shared" si="59"/>
        <v>1986</v>
      </c>
      <c r="Y725" s="1358"/>
      <c r="Z725" s="1358"/>
      <c r="AA725" s="1358"/>
      <c r="AB725" s="1359"/>
      <c r="AC725" s="1509">
        <v>0.7</v>
      </c>
      <c r="AD725" s="1510"/>
      <c r="AE725" s="1510"/>
      <c r="AF725" s="1510"/>
      <c r="AG725" s="1511"/>
      <c r="AH725" s="1375">
        <f t="shared" si="60"/>
        <v>0.70028208744710863</v>
      </c>
      <c r="AI725" s="1376"/>
      <c r="AJ725" s="1377"/>
      <c r="AK725" s="1354" t="s">
        <v>599</v>
      </c>
      <c r="AL725" s="1355"/>
      <c r="AM725" s="1355"/>
      <c r="AN725" s="1355"/>
      <c r="AO725" s="1356"/>
      <c r="AP725" s="3"/>
      <c r="AQ725" s="3"/>
      <c r="AR725" s="3"/>
      <c r="AS725" s="3"/>
      <c r="AY725" s="1122"/>
      <c r="AZ725" s="1122"/>
      <c r="BA725" s="1122"/>
      <c r="BB725" s="1122"/>
      <c r="BC725" s="1122"/>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164</v>
      </c>
      <c r="C726" s="1355"/>
      <c r="D726" s="1355"/>
      <c r="E726" s="1355"/>
      <c r="F726" s="1356"/>
      <c r="G726" s="1567">
        <v>10</v>
      </c>
      <c r="H726" s="1568"/>
      <c r="I726" s="1568"/>
      <c r="J726" s="1569"/>
      <c r="K726" s="1363">
        <v>1079</v>
      </c>
      <c r="L726" s="1364"/>
      <c r="M726" s="1364"/>
      <c r="N726" s="1365"/>
      <c r="O726" s="1427">
        <v>862</v>
      </c>
      <c r="P726" s="1428"/>
      <c r="Q726" s="1428"/>
      <c r="R726" s="1428"/>
      <c r="S726" s="1429"/>
      <c r="T726" s="1427">
        <v>121</v>
      </c>
      <c r="U726" s="1428"/>
      <c r="V726" s="1428"/>
      <c r="W726" s="1429"/>
      <c r="X726" s="1357">
        <f t="shared" si="59"/>
        <v>983</v>
      </c>
      <c r="Y726" s="1358"/>
      <c r="Z726" s="1358"/>
      <c r="AA726" s="1358"/>
      <c r="AB726" s="1359"/>
      <c r="AC726" s="1509">
        <v>0.3</v>
      </c>
      <c r="AD726" s="1510"/>
      <c r="AE726" s="1510"/>
      <c r="AF726" s="1510"/>
      <c r="AG726" s="1511"/>
      <c r="AH726" s="1375">
        <f t="shared" si="60"/>
        <v>0.29987797437461866</v>
      </c>
      <c r="AI726" s="1376"/>
      <c r="AJ726" s="1377"/>
      <c r="AK726" s="1354" t="s">
        <v>599</v>
      </c>
      <c r="AL726" s="1355"/>
      <c r="AM726" s="1355"/>
      <c r="AN726" s="1355"/>
      <c r="AO726" s="1356"/>
      <c r="AP726" s="3"/>
      <c r="AQ726" s="3"/>
      <c r="AR726" s="3"/>
      <c r="AS726" s="3"/>
      <c r="AY726" s="1122"/>
      <c r="AZ726" s="1122"/>
      <c r="BA726" s="1122"/>
      <c r="BB726" s="1122"/>
      <c r="BC726" s="112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t="s">
        <v>164</v>
      </c>
      <c r="C727" s="1355"/>
      <c r="D727" s="1355"/>
      <c r="E727" s="1355"/>
      <c r="F727" s="1356"/>
      <c r="G727" s="1567">
        <v>3</v>
      </c>
      <c r="H727" s="1568"/>
      <c r="I727" s="1568"/>
      <c r="J727" s="1569"/>
      <c r="K727" s="1363">
        <v>1079</v>
      </c>
      <c r="L727" s="1364"/>
      <c r="M727" s="1364"/>
      <c r="N727" s="1365"/>
      <c r="O727" s="1427">
        <v>1518</v>
      </c>
      <c r="P727" s="1428"/>
      <c r="Q727" s="1428"/>
      <c r="R727" s="1428"/>
      <c r="S727" s="1429"/>
      <c r="T727" s="1427">
        <v>121</v>
      </c>
      <c r="U727" s="1428"/>
      <c r="V727" s="1428"/>
      <c r="W727" s="1429"/>
      <c r="X727" s="1357">
        <f t="shared" si="59"/>
        <v>1639</v>
      </c>
      <c r="Y727" s="1358"/>
      <c r="Z727" s="1358"/>
      <c r="AA727" s="1358"/>
      <c r="AB727" s="1359"/>
      <c r="AC727" s="1509">
        <v>0.5</v>
      </c>
      <c r="AD727" s="1510"/>
      <c r="AE727" s="1510"/>
      <c r="AF727" s="1510"/>
      <c r="AG727" s="1511"/>
      <c r="AH727" s="1375">
        <f t="shared" si="60"/>
        <v>0.5</v>
      </c>
      <c r="AI727" s="1376"/>
      <c r="AJ727" s="1377"/>
      <c r="AK727" s="1354" t="s">
        <v>599</v>
      </c>
      <c r="AL727" s="1355"/>
      <c r="AM727" s="1355"/>
      <c r="AN727" s="1355"/>
      <c r="AO727" s="1356"/>
      <c r="AP727" s="3"/>
      <c r="AQ727" s="3"/>
      <c r="AR727" s="3"/>
      <c r="AS727" s="3"/>
      <c r="AY727" s="1122"/>
      <c r="AZ727" s="1122"/>
      <c r="BA727" s="1122"/>
      <c r="BB727" s="1122"/>
      <c r="BC727" s="112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t="s">
        <v>164</v>
      </c>
      <c r="C728" s="1355"/>
      <c r="D728" s="1355"/>
      <c r="E728" s="1355"/>
      <c r="F728" s="1356"/>
      <c r="G728" s="1567">
        <v>23</v>
      </c>
      <c r="H728" s="1568"/>
      <c r="I728" s="1568"/>
      <c r="J728" s="1569"/>
      <c r="K728" s="1363">
        <v>1079</v>
      </c>
      <c r="L728" s="1364"/>
      <c r="M728" s="1364"/>
      <c r="N728" s="1365"/>
      <c r="O728" s="1427">
        <v>1846</v>
      </c>
      <c r="P728" s="1428"/>
      <c r="Q728" s="1428"/>
      <c r="R728" s="1428"/>
      <c r="S728" s="1429"/>
      <c r="T728" s="1427">
        <v>121</v>
      </c>
      <c r="U728" s="1428"/>
      <c r="V728" s="1428"/>
      <c r="W728" s="1429"/>
      <c r="X728" s="1357">
        <f t="shared" si="59"/>
        <v>1967</v>
      </c>
      <c r="Y728" s="1358"/>
      <c r="Z728" s="1358"/>
      <c r="AA728" s="1358"/>
      <c r="AB728" s="1359"/>
      <c r="AC728" s="1509">
        <v>0.6</v>
      </c>
      <c r="AD728" s="1510"/>
      <c r="AE728" s="1510"/>
      <c r="AF728" s="1510"/>
      <c r="AG728" s="1511"/>
      <c r="AH728" s="1375">
        <f t="shared" si="60"/>
        <v>0.60006101281269064</v>
      </c>
      <c r="AI728" s="1376"/>
      <c r="AJ728" s="1377"/>
      <c r="AK728" s="1354" t="s">
        <v>599</v>
      </c>
      <c r="AL728" s="1355"/>
      <c r="AM728" s="1355"/>
      <c r="AN728" s="1355"/>
      <c r="AO728" s="1356"/>
      <c r="AP728" s="3"/>
      <c r="AQ728" s="3"/>
      <c r="AR728" s="3"/>
      <c r="AS728" s="3"/>
      <c r="AY728" s="1122"/>
      <c r="AZ728" s="1122"/>
      <c r="BA728" s="1122"/>
      <c r="BB728" s="1122"/>
      <c r="BC728" s="112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t="s">
        <v>164</v>
      </c>
      <c r="C729" s="1355"/>
      <c r="D729" s="1355"/>
      <c r="E729" s="1355"/>
      <c r="F729" s="1356"/>
      <c r="G729" s="1567">
        <v>4</v>
      </c>
      <c r="H729" s="1568"/>
      <c r="I729" s="1568"/>
      <c r="J729" s="1569"/>
      <c r="K729" s="1363">
        <v>1079</v>
      </c>
      <c r="L729" s="1364"/>
      <c r="M729" s="1364"/>
      <c r="N729" s="1365"/>
      <c r="O729" s="1427">
        <v>2174</v>
      </c>
      <c r="P729" s="1428"/>
      <c r="Q729" s="1428"/>
      <c r="R729" s="1428"/>
      <c r="S729" s="1429"/>
      <c r="T729" s="1427">
        <v>121</v>
      </c>
      <c r="U729" s="1428"/>
      <c r="V729" s="1428"/>
      <c r="W729" s="1429"/>
      <c r="X729" s="1357">
        <f t="shared" si="59"/>
        <v>2295</v>
      </c>
      <c r="Y729" s="1358"/>
      <c r="Z729" s="1358"/>
      <c r="AA729" s="1358"/>
      <c r="AB729" s="1359"/>
      <c r="AC729" s="1509">
        <v>0.7</v>
      </c>
      <c r="AD729" s="1510"/>
      <c r="AE729" s="1510"/>
      <c r="AF729" s="1510"/>
      <c r="AG729" s="1511"/>
      <c r="AH729" s="1375">
        <f t="shared" si="60"/>
        <v>0.70012202562538128</v>
      </c>
      <c r="AI729" s="1376"/>
      <c r="AJ729" s="1377"/>
      <c r="AK729" s="1354" t="s">
        <v>599</v>
      </c>
      <c r="AL729" s="1355"/>
      <c r="AM729" s="1355"/>
      <c r="AN729" s="1355"/>
      <c r="AO729" s="1356"/>
      <c r="AP729" s="3"/>
      <c r="AQ729" s="3"/>
      <c r="AR729" s="3"/>
      <c r="AS729" s="3"/>
      <c r="AY729" s="1122"/>
      <c r="AZ729" s="1122"/>
      <c r="BA729" s="1122"/>
      <c r="BB729" s="1122"/>
      <c r="BC729" s="112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567"/>
      <c r="H730" s="1568"/>
      <c r="I730" s="1568"/>
      <c r="J730" s="1569"/>
      <c r="K730" s="1363"/>
      <c r="L730" s="1364"/>
      <c r="M730" s="1364"/>
      <c r="N730" s="1365"/>
      <c r="O730" s="1427"/>
      <c r="P730" s="1428"/>
      <c r="Q730" s="1428"/>
      <c r="R730" s="1428"/>
      <c r="S730" s="1429"/>
      <c r="T730" s="1427"/>
      <c r="U730" s="1428"/>
      <c r="V730" s="1428"/>
      <c r="W730" s="1429"/>
      <c r="X730" s="1357">
        <f t="shared" si="59"/>
        <v>0</v>
      </c>
      <c r="Y730" s="1358"/>
      <c r="Z730" s="1358"/>
      <c r="AA730" s="1358"/>
      <c r="AB730" s="1359"/>
      <c r="AC730" s="1509"/>
      <c r="AD730" s="1510"/>
      <c r="AE730" s="1510"/>
      <c r="AF730" s="1510"/>
      <c r="AG730" s="1511"/>
      <c r="AH730" s="1375" t="str">
        <f t="shared" si="60"/>
        <v/>
      </c>
      <c r="AI730" s="1376"/>
      <c r="AJ730" s="1377"/>
      <c r="AK730" s="1354" t="s">
        <v>599</v>
      </c>
      <c r="AL730" s="1355"/>
      <c r="AM730" s="1355"/>
      <c r="AN730" s="1355"/>
      <c r="AO730" s="1356"/>
      <c r="AP730" s="3"/>
      <c r="AQ730" s="3"/>
      <c r="AR730" s="3"/>
      <c r="AS730" s="3"/>
      <c r="AY730" s="1122"/>
      <c r="AZ730" s="1122"/>
      <c r="BA730" s="1122"/>
      <c r="BB730" s="1122"/>
      <c r="BC730" s="112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567"/>
      <c r="H731" s="1568"/>
      <c r="I731" s="1568"/>
      <c r="J731" s="1569"/>
      <c r="K731" s="1363"/>
      <c r="L731" s="1364"/>
      <c r="M731" s="1364"/>
      <c r="N731" s="1365"/>
      <c r="O731" s="1427"/>
      <c r="P731" s="1428"/>
      <c r="Q731" s="1428"/>
      <c r="R731" s="1428"/>
      <c r="S731" s="1429"/>
      <c r="T731" s="1427"/>
      <c r="U731" s="1428"/>
      <c r="V731" s="1428"/>
      <c r="W731" s="1429"/>
      <c r="X731" s="1357">
        <f t="shared" si="59"/>
        <v>0</v>
      </c>
      <c r="Y731" s="1358"/>
      <c r="Z731" s="1358"/>
      <c r="AA731" s="1358"/>
      <c r="AB731" s="1359"/>
      <c r="AC731" s="1509"/>
      <c r="AD731" s="1510"/>
      <c r="AE731" s="1510"/>
      <c r="AF731" s="1510"/>
      <c r="AG731" s="1511"/>
      <c r="AH731" s="1375" t="str">
        <f t="shared" si="60"/>
        <v/>
      </c>
      <c r="AI731" s="1376"/>
      <c r="AJ731" s="1377"/>
      <c r="AK731" s="1354" t="s">
        <v>599</v>
      </c>
      <c r="AL731" s="1355"/>
      <c r="AM731" s="1355"/>
      <c r="AN731" s="1355"/>
      <c r="AO731" s="1356"/>
      <c r="AP731" s="3"/>
      <c r="AQ731" s="3"/>
      <c r="AR731" s="3"/>
      <c r="AS731" s="3"/>
      <c r="AY731" s="1122"/>
      <c r="AZ731" s="1122"/>
      <c r="BA731" s="1122"/>
      <c r="BB731" s="1122"/>
      <c r="BC731" s="112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567"/>
      <c r="H732" s="1568"/>
      <c r="I732" s="1568"/>
      <c r="J732" s="1569"/>
      <c r="K732" s="1363"/>
      <c r="L732" s="1364"/>
      <c r="M732" s="1364"/>
      <c r="N732" s="1365"/>
      <c r="O732" s="1427"/>
      <c r="P732" s="1428"/>
      <c r="Q732" s="1428"/>
      <c r="R732" s="1428"/>
      <c r="S732" s="1429"/>
      <c r="T732" s="1427"/>
      <c r="U732" s="1428"/>
      <c r="V732" s="1428"/>
      <c r="W732" s="1429"/>
      <c r="X732" s="1357">
        <f t="shared" si="59"/>
        <v>0</v>
      </c>
      <c r="Y732" s="1358"/>
      <c r="Z732" s="1358"/>
      <c r="AA732" s="1358"/>
      <c r="AB732" s="1359"/>
      <c r="AC732" s="1509"/>
      <c r="AD732" s="1510"/>
      <c r="AE732" s="1510"/>
      <c r="AF732" s="1510"/>
      <c r="AG732" s="1511"/>
      <c r="AH732" s="1375" t="str">
        <f t="shared" si="60"/>
        <v/>
      </c>
      <c r="AI732" s="1376"/>
      <c r="AJ732" s="1377"/>
      <c r="AK732" s="1354" t="s">
        <v>599</v>
      </c>
      <c r="AL732" s="1355"/>
      <c r="AM732" s="1355"/>
      <c r="AN732" s="1355"/>
      <c r="AO732" s="1356"/>
      <c r="AP732" s="3"/>
      <c r="AQ732" s="3"/>
      <c r="AR732" s="3"/>
      <c r="AS732" s="3"/>
      <c r="AY732" s="1122"/>
      <c r="AZ732" s="1122"/>
      <c r="BA732" s="1122"/>
      <c r="BB732" s="1122"/>
      <c r="BC732" s="112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567"/>
      <c r="H733" s="1568"/>
      <c r="I733" s="1568"/>
      <c r="J733" s="1569"/>
      <c r="K733" s="1363"/>
      <c r="L733" s="1364"/>
      <c r="M733" s="1364"/>
      <c r="N733" s="1365"/>
      <c r="O733" s="1427"/>
      <c r="P733" s="1428"/>
      <c r="Q733" s="1428"/>
      <c r="R733" s="1428"/>
      <c r="S733" s="1429"/>
      <c r="T733" s="1427"/>
      <c r="U733" s="1428"/>
      <c r="V733" s="1428"/>
      <c r="W733" s="1429"/>
      <c r="X733" s="1357">
        <f t="shared" si="59"/>
        <v>0</v>
      </c>
      <c r="Y733" s="1358"/>
      <c r="Z733" s="1358"/>
      <c r="AA733" s="1358"/>
      <c r="AB733" s="1359"/>
      <c r="AC733" s="1509"/>
      <c r="AD733" s="1510"/>
      <c r="AE733" s="1510"/>
      <c r="AF733" s="1510"/>
      <c r="AG733" s="1511"/>
      <c r="AH733" s="1375" t="str">
        <f t="shared" si="60"/>
        <v/>
      </c>
      <c r="AI733" s="1376"/>
      <c r="AJ733" s="1377"/>
      <c r="AK733" s="1354" t="s">
        <v>599</v>
      </c>
      <c r="AL733" s="1355"/>
      <c r="AM733" s="1355"/>
      <c r="AN733" s="1355"/>
      <c r="AO733" s="1356"/>
      <c r="AP733" s="3"/>
      <c r="AQ733" s="3"/>
      <c r="AR733" s="3"/>
      <c r="AS733" s="3"/>
      <c r="AY733" s="1122"/>
      <c r="AZ733" s="1122"/>
      <c r="BA733" s="1122"/>
      <c r="BB733" s="1122"/>
      <c r="BC733" s="112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567"/>
      <c r="H734" s="1568"/>
      <c r="I734" s="1568"/>
      <c r="J734" s="1569"/>
      <c r="K734" s="1363"/>
      <c r="L734" s="1364"/>
      <c r="M734" s="1364"/>
      <c r="N734" s="1365"/>
      <c r="O734" s="1427"/>
      <c r="P734" s="1428"/>
      <c r="Q734" s="1428"/>
      <c r="R734" s="1428"/>
      <c r="S734" s="1429"/>
      <c r="T734" s="1427"/>
      <c r="U734" s="1428"/>
      <c r="V734" s="1428"/>
      <c r="W734" s="1429"/>
      <c r="X734" s="1357">
        <f t="shared" si="59"/>
        <v>0</v>
      </c>
      <c r="Y734" s="1358"/>
      <c r="Z734" s="1358"/>
      <c r="AA734" s="1358"/>
      <c r="AB734" s="1359"/>
      <c r="AC734" s="1509"/>
      <c r="AD734" s="1510"/>
      <c r="AE734" s="1510"/>
      <c r="AF734" s="1510"/>
      <c r="AG734" s="1511"/>
      <c r="AH734" s="1375" t="str">
        <f t="shared" si="60"/>
        <v/>
      </c>
      <c r="AI734" s="1376"/>
      <c r="AJ734" s="1377"/>
      <c r="AK734" s="1354" t="s">
        <v>599</v>
      </c>
      <c r="AL734" s="1355"/>
      <c r="AM734" s="1355"/>
      <c r="AN734" s="1355"/>
      <c r="AO734" s="1356"/>
      <c r="AP734" s="3"/>
      <c r="AQ734" s="3"/>
      <c r="AR734" s="3"/>
      <c r="AS734" s="3"/>
      <c r="AY734" s="1122"/>
      <c r="AZ734" s="1122"/>
      <c r="BA734" s="1122"/>
      <c r="BB734" s="1122"/>
      <c r="BC734" s="112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567"/>
      <c r="H735" s="1568"/>
      <c r="I735" s="1568"/>
      <c r="J735" s="1569"/>
      <c r="K735" s="1363"/>
      <c r="L735" s="1364"/>
      <c r="M735" s="1364"/>
      <c r="N735" s="1365"/>
      <c r="O735" s="1427"/>
      <c r="P735" s="1428"/>
      <c r="Q735" s="1428"/>
      <c r="R735" s="1428"/>
      <c r="S735" s="1429"/>
      <c r="T735" s="1427"/>
      <c r="U735" s="1428"/>
      <c r="V735" s="1428"/>
      <c r="W735" s="1429"/>
      <c r="X735" s="1357">
        <f t="shared" si="59"/>
        <v>0</v>
      </c>
      <c r="Y735" s="1358"/>
      <c r="Z735" s="1358"/>
      <c r="AA735" s="1358"/>
      <c r="AB735" s="1359"/>
      <c r="AC735" s="1509"/>
      <c r="AD735" s="1510"/>
      <c r="AE735" s="1510"/>
      <c r="AF735" s="1510"/>
      <c r="AG735" s="1511"/>
      <c r="AH735" s="1375" t="str">
        <f t="shared" si="60"/>
        <v/>
      </c>
      <c r="AI735" s="1376"/>
      <c r="AJ735" s="1377"/>
      <c r="AK735" s="1354" t="s">
        <v>599</v>
      </c>
      <c r="AL735" s="1355"/>
      <c r="AM735" s="1355"/>
      <c r="AN735" s="1355"/>
      <c r="AO735" s="1356"/>
      <c r="AP735" s="3"/>
      <c r="AQ735" s="3"/>
      <c r="AR735" s="3"/>
      <c r="AS735" s="3"/>
      <c r="AY735" s="1122"/>
      <c r="AZ735" s="1122"/>
      <c r="BA735" s="1122"/>
      <c r="BB735" s="1122"/>
      <c r="BC735" s="112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567"/>
      <c r="H736" s="1568"/>
      <c r="I736" s="1568"/>
      <c r="J736" s="1569"/>
      <c r="K736" s="1363"/>
      <c r="L736" s="1364"/>
      <c r="M736" s="1364"/>
      <c r="N736" s="1365"/>
      <c r="O736" s="1427"/>
      <c r="P736" s="1428"/>
      <c r="Q736" s="1428"/>
      <c r="R736" s="1428"/>
      <c r="S736" s="1429"/>
      <c r="T736" s="1427"/>
      <c r="U736" s="1428"/>
      <c r="V736" s="1428"/>
      <c r="W736" s="1429"/>
      <c r="X736" s="1357">
        <f t="shared" si="59"/>
        <v>0</v>
      </c>
      <c r="Y736" s="1358"/>
      <c r="Z736" s="1358"/>
      <c r="AA736" s="1358"/>
      <c r="AB736" s="1359"/>
      <c r="AC736" s="1509"/>
      <c r="AD736" s="1510"/>
      <c r="AE736" s="1510"/>
      <c r="AF736" s="1510"/>
      <c r="AG736" s="1511"/>
      <c r="AH736" s="1375" t="str">
        <f t="shared" si="60"/>
        <v/>
      </c>
      <c r="AI736" s="1376"/>
      <c r="AJ736" s="1377"/>
      <c r="AK736" s="1354" t="s">
        <v>599</v>
      </c>
      <c r="AL736" s="1355"/>
      <c r="AM736" s="1355"/>
      <c r="AN736" s="1355"/>
      <c r="AO736" s="1356"/>
      <c r="AP736" s="3"/>
      <c r="AQ736" s="3"/>
      <c r="AR736" s="3"/>
      <c r="AS736" s="3"/>
      <c r="AY736" s="1122"/>
      <c r="AZ736" s="1122"/>
      <c r="BA736" s="1122"/>
      <c r="BB736" s="1122"/>
      <c r="BC736" s="112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567"/>
      <c r="H737" s="1568"/>
      <c r="I737" s="1568"/>
      <c r="J737" s="1569"/>
      <c r="K737" s="1363"/>
      <c r="L737" s="1364"/>
      <c r="M737" s="1364"/>
      <c r="N737" s="1365"/>
      <c r="O737" s="1427"/>
      <c r="P737" s="1428"/>
      <c r="Q737" s="1428"/>
      <c r="R737" s="1428"/>
      <c r="S737" s="1429"/>
      <c r="T737" s="1427"/>
      <c r="U737" s="1428"/>
      <c r="V737" s="1428"/>
      <c r="W737" s="1429"/>
      <c r="X737" s="1357">
        <f t="shared" si="59"/>
        <v>0</v>
      </c>
      <c r="Y737" s="1358"/>
      <c r="Z737" s="1358"/>
      <c r="AA737" s="1358"/>
      <c r="AB737" s="1359"/>
      <c r="AC737" s="1509"/>
      <c r="AD737" s="1510"/>
      <c r="AE737" s="1510"/>
      <c r="AF737" s="1510"/>
      <c r="AG737" s="1511"/>
      <c r="AH737" s="1375" t="str">
        <f t="shared" si="60"/>
        <v/>
      </c>
      <c r="AI737" s="1376"/>
      <c r="AJ737" s="1377"/>
      <c r="AK737" s="1354" t="s">
        <v>599</v>
      </c>
      <c r="AL737" s="1355"/>
      <c r="AM737" s="1355"/>
      <c r="AN737" s="1355"/>
      <c r="AO737" s="1356"/>
      <c r="AP737" s="3"/>
      <c r="AQ737" s="3"/>
      <c r="AR737" s="3"/>
      <c r="AS737" s="3"/>
      <c r="AY737" s="1122"/>
      <c r="AZ737" s="1122"/>
      <c r="BA737" s="1122"/>
      <c r="BB737" s="1122"/>
      <c r="BC737" s="112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567"/>
      <c r="H738" s="1568"/>
      <c r="I738" s="1568"/>
      <c r="J738" s="1569"/>
      <c r="K738" s="1363"/>
      <c r="L738" s="1364"/>
      <c r="M738" s="1364"/>
      <c r="N738" s="1365"/>
      <c r="O738" s="1427"/>
      <c r="P738" s="1428"/>
      <c r="Q738" s="1428"/>
      <c r="R738" s="1428"/>
      <c r="S738" s="1429"/>
      <c r="T738" s="1427"/>
      <c r="U738" s="1428"/>
      <c r="V738" s="1428"/>
      <c r="W738" s="1429"/>
      <c r="X738" s="1357">
        <f t="shared" si="59"/>
        <v>0</v>
      </c>
      <c r="Y738" s="1358"/>
      <c r="Z738" s="1358"/>
      <c r="AA738" s="1358"/>
      <c r="AB738" s="1359"/>
      <c r="AC738" s="1509"/>
      <c r="AD738" s="1510"/>
      <c r="AE738" s="1510"/>
      <c r="AF738" s="1510"/>
      <c r="AG738" s="1511"/>
      <c r="AH738" s="1375" t="str">
        <f t="shared" si="60"/>
        <v/>
      </c>
      <c r="AI738" s="1376"/>
      <c r="AJ738" s="1377"/>
      <c r="AK738" s="1354" t="s">
        <v>599</v>
      </c>
      <c r="AL738" s="1355"/>
      <c r="AM738" s="1355"/>
      <c r="AN738" s="1355"/>
      <c r="AO738" s="1356"/>
      <c r="AP738" s="3"/>
      <c r="AQ738" s="3"/>
      <c r="AR738" s="3"/>
      <c r="AS738" s="3"/>
      <c r="AY738" s="1122"/>
      <c r="AZ738" s="1122"/>
      <c r="BA738" s="1122"/>
      <c r="BB738" s="1122"/>
      <c r="BC738" s="112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567"/>
      <c r="H739" s="1568"/>
      <c r="I739" s="1568"/>
      <c r="J739" s="1569"/>
      <c r="K739" s="1363"/>
      <c r="L739" s="1364"/>
      <c r="M739" s="1364"/>
      <c r="N739" s="1365"/>
      <c r="O739" s="1427"/>
      <c r="P739" s="1428"/>
      <c r="Q739" s="1428"/>
      <c r="R739" s="1428"/>
      <c r="S739" s="1429"/>
      <c r="T739" s="1427"/>
      <c r="U739" s="1428"/>
      <c r="V739" s="1428"/>
      <c r="W739" s="1429"/>
      <c r="X739" s="1357">
        <f t="shared" si="59"/>
        <v>0</v>
      </c>
      <c r="Y739" s="1358"/>
      <c r="Z739" s="1358"/>
      <c r="AA739" s="1358"/>
      <c r="AB739" s="1359"/>
      <c r="AC739" s="1509"/>
      <c r="AD739" s="1510"/>
      <c r="AE739" s="1510"/>
      <c r="AF739" s="1510"/>
      <c r="AG739" s="1511"/>
      <c r="AH739" s="1375" t="str">
        <f t="shared" si="60"/>
        <v/>
      </c>
      <c r="AI739" s="1376"/>
      <c r="AJ739" s="1377"/>
      <c r="AK739" s="1354" t="s">
        <v>599</v>
      </c>
      <c r="AL739" s="1355"/>
      <c r="AM739" s="1355"/>
      <c r="AN739" s="1355"/>
      <c r="AO739" s="1356"/>
      <c r="AP739" s="3"/>
      <c r="AQ739" s="3"/>
      <c r="AR739" s="3"/>
      <c r="AS739" s="3"/>
      <c r="AY739" s="1122"/>
      <c r="AZ739" s="1122"/>
      <c r="BA739" s="1122"/>
      <c r="BB739" s="1122"/>
      <c r="BC739" s="112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567"/>
      <c r="H740" s="1568"/>
      <c r="I740" s="1568"/>
      <c r="J740" s="1569"/>
      <c r="K740" s="1363"/>
      <c r="L740" s="1364"/>
      <c r="M740" s="1364"/>
      <c r="N740" s="1365"/>
      <c r="O740" s="1427"/>
      <c r="P740" s="1428"/>
      <c r="Q740" s="1428"/>
      <c r="R740" s="1428"/>
      <c r="S740" s="1429"/>
      <c r="T740" s="1427"/>
      <c r="U740" s="1428"/>
      <c r="V740" s="1428"/>
      <c r="W740" s="1429"/>
      <c r="X740" s="1357">
        <f t="shared" si="59"/>
        <v>0</v>
      </c>
      <c r="Y740" s="1358"/>
      <c r="Z740" s="1358"/>
      <c r="AA740" s="1358"/>
      <c r="AB740" s="1359"/>
      <c r="AC740" s="1509"/>
      <c r="AD740" s="1510"/>
      <c r="AE740" s="1510"/>
      <c r="AF740" s="1510"/>
      <c r="AG740" s="1511"/>
      <c r="AH740" s="1375" t="str">
        <f t="shared" si="60"/>
        <v/>
      </c>
      <c r="AI740" s="1376"/>
      <c r="AJ740" s="1377"/>
      <c r="AK740" s="1354" t="s">
        <v>599</v>
      </c>
      <c r="AL740" s="1355"/>
      <c r="AM740" s="1355"/>
      <c r="AN740" s="1355"/>
      <c r="AO740" s="1356"/>
      <c r="AP740" s="3"/>
      <c r="AQ740" s="3"/>
      <c r="AR740" s="3"/>
      <c r="AS740" s="3"/>
      <c r="AY740" s="1122"/>
      <c r="AZ740" s="1122"/>
      <c r="BA740" s="1122"/>
      <c r="BB740" s="1122"/>
      <c r="BC740" s="112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567"/>
      <c r="H741" s="1568"/>
      <c r="I741" s="1568"/>
      <c r="J741" s="1569"/>
      <c r="K741" s="1363"/>
      <c r="L741" s="1364"/>
      <c r="M741" s="1364"/>
      <c r="N741" s="1365"/>
      <c r="O741" s="1427"/>
      <c r="P741" s="1428"/>
      <c r="Q741" s="1428"/>
      <c r="R741" s="1428"/>
      <c r="S741" s="1429"/>
      <c r="T741" s="1427"/>
      <c r="U741" s="1428"/>
      <c r="V741" s="1428"/>
      <c r="W741" s="1429"/>
      <c r="X741" s="1357">
        <f t="shared" si="59"/>
        <v>0</v>
      </c>
      <c r="Y741" s="1358"/>
      <c r="Z741" s="1358"/>
      <c r="AA741" s="1358"/>
      <c r="AB741" s="1359"/>
      <c r="AC741" s="1509"/>
      <c r="AD741" s="1510"/>
      <c r="AE741" s="1510"/>
      <c r="AF741" s="1510"/>
      <c r="AG741" s="1511"/>
      <c r="AH741" s="1375" t="str">
        <f t="shared" si="60"/>
        <v/>
      </c>
      <c r="AI741" s="1376"/>
      <c r="AJ741" s="1377"/>
      <c r="AK741" s="1354" t="s">
        <v>599</v>
      </c>
      <c r="AL741" s="1355"/>
      <c r="AM741" s="1355"/>
      <c r="AN741" s="1355"/>
      <c r="AO741" s="1356"/>
      <c r="AP741" s="3"/>
      <c r="AQ741" s="3"/>
      <c r="AR741" s="3"/>
      <c r="AS741" s="3"/>
      <c r="AY741" s="1122"/>
      <c r="AZ741" s="1122"/>
      <c r="BA741" s="1122"/>
      <c r="BB741" s="1122"/>
      <c r="BC741" s="112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567"/>
      <c r="H742" s="1568"/>
      <c r="I742" s="1568"/>
      <c r="J742" s="1569"/>
      <c r="K742" s="1363"/>
      <c r="L742" s="1364"/>
      <c r="M742" s="1364"/>
      <c r="N742" s="1365"/>
      <c r="O742" s="1427"/>
      <c r="P742" s="1428"/>
      <c r="Q742" s="1428"/>
      <c r="R742" s="1428"/>
      <c r="S742" s="1429"/>
      <c r="T742" s="1427"/>
      <c r="U742" s="1428"/>
      <c r="V742" s="1428"/>
      <c r="W742" s="1429"/>
      <c r="X742" s="1357">
        <f t="shared" ref="X742:X751" si="61">O742+T742</f>
        <v>0</v>
      </c>
      <c r="Y742" s="1358"/>
      <c r="Z742" s="1358"/>
      <c r="AA742" s="1358"/>
      <c r="AB742" s="1359"/>
      <c r="AC742" s="1509"/>
      <c r="AD742" s="1510"/>
      <c r="AE742" s="1510"/>
      <c r="AF742" s="1510"/>
      <c r="AG742" s="1511"/>
      <c r="AH742" s="1375" t="str">
        <f t="shared" si="60"/>
        <v/>
      </c>
      <c r="AI742" s="1376"/>
      <c r="AJ742" s="1377"/>
      <c r="AK742" s="1354" t="s">
        <v>599</v>
      </c>
      <c r="AL742" s="1355"/>
      <c r="AM742" s="1355"/>
      <c r="AN742" s="1355"/>
      <c r="AO742" s="1356"/>
      <c r="AP742" s="3"/>
      <c r="AQ742" s="3"/>
      <c r="AR742" s="3"/>
      <c r="AS742" s="3"/>
      <c r="AY742" s="1122"/>
      <c r="AZ742" s="1122"/>
      <c r="BA742" s="1122"/>
      <c r="BB742" s="1122"/>
      <c r="BC742" s="112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567"/>
      <c r="H743" s="1568"/>
      <c r="I743" s="1568"/>
      <c r="J743" s="1569"/>
      <c r="K743" s="1363"/>
      <c r="L743" s="1364"/>
      <c r="M743" s="1364"/>
      <c r="N743" s="1365"/>
      <c r="O743" s="1427"/>
      <c r="P743" s="1428"/>
      <c r="Q743" s="1428"/>
      <c r="R743" s="1428"/>
      <c r="S743" s="1429"/>
      <c r="T743" s="1427"/>
      <c r="U743" s="1428"/>
      <c r="V743" s="1428"/>
      <c r="W743" s="1429"/>
      <c r="X743" s="1357">
        <f t="shared" si="61"/>
        <v>0</v>
      </c>
      <c r="Y743" s="1358"/>
      <c r="Z743" s="1358"/>
      <c r="AA743" s="1358"/>
      <c r="AB743" s="1359"/>
      <c r="AC743" s="1509"/>
      <c r="AD743" s="1510"/>
      <c r="AE743" s="1510"/>
      <c r="AF743" s="1510"/>
      <c r="AG743" s="1511"/>
      <c r="AH743" s="1375" t="str">
        <f t="shared" si="60"/>
        <v/>
      </c>
      <c r="AI743" s="1376"/>
      <c r="AJ743" s="1377"/>
      <c r="AK743" s="1354" t="s">
        <v>599</v>
      </c>
      <c r="AL743" s="1355"/>
      <c r="AM743" s="1355"/>
      <c r="AN743" s="1355"/>
      <c r="AO743" s="1356"/>
      <c r="AT743"/>
      <c r="AU743"/>
      <c r="AV743"/>
      <c r="AW743"/>
      <c r="AX743"/>
      <c r="AY743" s="1122"/>
      <c r="AZ743" s="1122"/>
      <c r="BA743" s="1122"/>
      <c r="BB743" s="1122"/>
      <c r="BC743" s="112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567"/>
      <c r="H744" s="1568"/>
      <c r="I744" s="1568"/>
      <c r="J744" s="1569"/>
      <c r="K744" s="1363"/>
      <c r="L744" s="1364"/>
      <c r="M744" s="1364"/>
      <c r="N744" s="1365"/>
      <c r="O744" s="1427"/>
      <c r="P744" s="1428"/>
      <c r="Q744" s="1428"/>
      <c r="R744" s="1428"/>
      <c r="S744" s="1429"/>
      <c r="T744" s="1427"/>
      <c r="U744" s="1428"/>
      <c r="V744" s="1428"/>
      <c r="W744" s="1429"/>
      <c r="X744" s="1357">
        <f t="shared" si="61"/>
        <v>0</v>
      </c>
      <c r="Y744" s="1358"/>
      <c r="Z744" s="1358"/>
      <c r="AA744" s="1358"/>
      <c r="AB744" s="1359"/>
      <c r="AC744" s="1509"/>
      <c r="AD744" s="1510"/>
      <c r="AE744" s="1510"/>
      <c r="AF744" s="1510"/>
      <c r="AG744" s="1511"/>
      <c r="AH744" s="1375" t="str">
        <f t="shared" si="60"/>
        <v/>
      </c>
      <c r="AI744" s="1376"/>
      <c r="AJ744" s="1377"/>
      <c r="AK744" s="1354" t="s">
        <v>599</v>
      </c>
      <c r="AL744" s="1355"/>
      <c r="AM744" s="1355"/>
      <c r="AN744" s="1355"/>
      <c r="AO744" s="1356"/>
      <c r="AP744" s="3"/>
      <c r="AQ744" s="3"/>
      <c r="AR744" s="3"/>
      <c r="AS744" s="3"/>
      <c r="AY744" s="1122"/>
      <c r="AZ744" s="1122"/>
      <c r="BA744" s="1122"/>
      <c r="BB744" s="1122"/>
      <c r="BC744" s="112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567"/>
      <c r="H745" s="1568"/>
      <c r="I745" s="1568"/>
      <c r="J745" s="1569"/>
      <c r="K745" s="1363"/>
      <c r="L745" s="1364"/>
      <c r="M745" s="1364"/>
      <c r="N745" s="1365"/>
      <c r="O745" s="1427"/>
      <c r="P745" s="1428"/>
      <c r="Q745" s="1428"/>
      <c r="R745" s="1428"/>
      <c r="S745" s="1429"/>
      <c r="T745" s="1427"/>
      <c r="U745" s="1428"/>
      <c r="V745" s="1428"/>
      <c r="W745" s="1429"/>
      <c r="X745" s="1357">
        <f t="shared" si="61"/>
        <v>0</v>
      </c>
      <c r="Y745" s="1358"/>
      <c r="Z745" s="1358"/>
      <c r="AA745" s="1358"/>
      <c r="AB745" s="1359"/>
      <c r="AC745" s="1509"/>
      <c r="AD745" s="1510"/>
      <c r="AE745" s="1510"/>
      <c r="AF745" s="1510"/>
      <c r="AG745" s="1511"/>
      <c r="AH745" s="1375" t="str">
        <f t="shared" si="60"/>
        <v/>
      </c>
      <c r="AI745" s="1376"/>
      <c r="AJ745" s="1377"/>
      <c r="AK745" s="1354" t="s">
        <v>599</v>
      </c>
      <c r="AL745" s="1355"/>
      <c r="AM745" s="1355"/>
      <c r="AN745" s="1355"/>
      <c r="AO745" s="1356"/>
      <c r="AP745" s="3"/>
      <c r="AQ745" s="3"/>
      <c r="AR745" s="3"/>
      <c r="AS745" s="3"/>
      <c r="AY745" s="1122"/>
      <c r="AZ745" s="1122"/>
      <c r="BA745" s="1122"/>
      <c r="BB745" s="1122"/>
      <c r="BC745" s="112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567"/>
      <c r="H746" s="1568"/>
      <c r="I746" s="1568"/>
      <c r="J746" s="1569"/>
      <c r="K746" s="1363"/>
      <c r="L746" s="1364"/>
      <c r="M746" s="1364"/>
      <c r="N746" s="1365"/>
      <c r="O746" s="1427"/>
      <c r="P746" s="1428"/>
      <c r="Q746" s="1428"/>
      <c r="R746" s="1428"/>
      <c r="S746" s="1429"/>
      <c r="T746" s="1427"/>
      <c r="U746" s="1428"/>
      <c r="V746" s="1428"/>
      <c r="W746" s="1429"/>
      <c r="X746" s="1357">
        <f t="shared" si="61"/>
        <v>0</v>
      </c>
      <c r="Y746" s="1358"/>
      <c r="Z746" s="1358"/>
      <c r="AA746" s="1358"/>
      <c r="AB746" s="1359"/>
      <c r="AC746" s="1509"/>
      <c r="AD746" s="1510"/>
      <c r="AE746" s="1510"/>
      <c r="AF746" s="1510"/>
      <c r="AG746" s="1511"/>
      <c r="AH746" s="1375" t="str">
        <f t="shared" si="60"/>
        <v/>
      </c>
      <c r="AI746" s="1376"/>
      <c r="AJ746" s="1377"/>
      <c r="AK746" s="1354" t="s">
        <v>599</v>
      </c>
      <c r="AL746" s="1355"/>
      <c r="AM746" s="1355"/>
      <c r="AN746" s="1355"/>
      <c r="AO746" s="1356"/>
      <c r="AP746" s="3"/>
      <c r="AQ746" s="3"/>
      <c r="AR746" s="3"/>
      <c r="AS746" s="3"/>
      <c r="AY746" s="1122"/>
      <c r="AZ746" s="1122"/>
      <c r="BA746" s="1122"/>
      <c r="BB746" s="1122"/>
      <c r="BC746" s="112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567"/>
      <c r="H747" s="1568"/>
      <c r="I747" s="1568"/>
      <c r="J747" s="1569"/>
      <c r="K747" s="1363"/>
      <c r="L747" s="1364"/>
      <c r="M747" s="1364"/>
      <c r="N747" s="1365"/>
      <c r="O747" s="1427"/>
      <c r="P747" s="1428"/>
      <c r="Q747" s="1428"/>
      <c r="R747" s="1428"/>
      <c r="S747" s="1429"/>
      <c r="T747" s="1427"/>
      <c r="U747" s="1428"/>
      <c r="V747" s="1428"/>
      <c r="W747" s="1429"/>
      <c r="X747" s="1357">
        <f t="shared" si="61"/>
        <v>0</v>
      </c>
      <c r="Y747" s="1358"/>
      <c r="Z747" s="1358"/>
      <c r="AA747" s="1358"/>
      <c r="AB747" s="1359"/>
      <c r="AC747" s="1509"/>
      <c r="AD747" s="1510"/>
      <c r="AE747" s="1510"/>
      <c r="AF747" s="1510"/>
      <c r="AG747" s="1511"/>
      <c r="AH747" s="1375" t="str">
        <f t="shared" si="60"/>
        <v/>
      </c>
      <c r="AI747" s="1376"/>
      <c r="AJ747" s="1377"/>
      <c r="AK747" s="1354" t="s">
        <v>599</v>
      </c>
      <c r="AL747" s="1355"/>
      <c r="AM747" s="1355"/>
      <c r="AN747" s="1355"/>
      <c r="AO747" s="1356"/>
      <c r="AP747" s="3"/>
      <c r="AQ747" s="3"/>
      <c r="AR747" s="3"/>
      <c r="AS747" s="3"/>
      <c r="AY747" s="1122"/>
      <c r="AZ747" s="1122"/>
      <c r="BA747" s="1122"/>
      <c r="BB747" s="1122"/>
      <c r="BC747" s="112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567"/>
      <c r="H748" s="1568"/>
      <c r="I748" s="1568"/>
      <c r="J748" s="1569"/>
      <c r="K748" s="1363"/>
      <c r="L748" s="1364"/>
      <c r="M748" s="1364"/>
      <c r="N748" s="1365"/>
      <c r="O748" s="1427"/>
      <c r="P748" s="1428"/>
      <c r="Q748" s="1428"/>
      <c r="R748" s="1428"/>
      <c r="S748" s="1429"/>
      <c r="T748" s="1427"/>
      <c r="U748" s="1428"/>
      <c r="V748" s="1428"/>
      <c r="W748" s="1429"/>
      <c r="X748" s="1357">
        <f t="shared" si="61"/>
        <v>0</v>
      </c>
      <c r="Y748" s="1358"/>
      <c r="Z748" s="1358"/>
      <c r="AA748" s="1358"/>
      <c r="AB748" s="1359"/>
      <c r="AC748" s="1509"/>
      <c r="AD748" s="1510"/>
      <c r="AE748" s="1510"/>
      <c r="AF748" s="1510"/>
      <c r="AG748" s="1511"/>
      <c r="AH748" s="1375" t="str">
        <f t="shared" si="60"/>
        <v/>
      </c>
      <c r="AI748" s="1376"/>
      <c r="AJ748" s="1377"/>
      <c r="AK748" s="1354" t="s">
        <v>599</v>
      </c>
      <c r="AL748" s="1355"/>
      <c r="AM748" s="1355"/>
      <c r="AN748" s="1355"/>
      <c r="AO748" s="1356"/>
      <c r="AT748"/>
      <c r="AU748"/>
      <c r="AV748"/>
      <c r="AW748"/>
      <c r="AX748"/>
      <c r="AY748" s="1122"/>
      <c r="AZ748" s="1122"/>
      <c r="BA748" s="1122"/>
      <c r="BB748" s="1122"/>
      <c r="BC748" s="112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567"/>
      <c r="H749" s="1568"/>
      <c r="I749" s="1568"/>
      <c r="J749" s="1569"/>
      <c r="K749" s="1363"/>
      <c r="L749" s="1364"/>
      <c r="M749" s="1364"/>
      <c r="N749" s="1365"/>
      <c r="O749" s="1427"/>
      <c r="P749" s="1428"/>
      <c r="Q749" s="1428"/>
      <c r="R749" s="1428"/>
      <c r="S749" s="1429"/>
      <c r="T749" s="1427"/>
      <c r="U749" s="1428"/>
      <c r="V749" s="1428"/>
      <c r="W749" s="1429"/>
      <c r="X749" s="1357">
        <f t="shared" si="61"/>
        <v>0</v>
      </c>
      <c r="Y749" s="1358"/>
      <c r="Z749" s="1358"/>
      <c r="AA749" s="1358"/>
      <c r="AB749" s="1359"/>
      <c r="AC749" s="1509"/>
      <c r="AD749" s="1510"/>
      <c r="AE749" s="1510"/>
      <c r="AF749" s="1510"/>
      <c r="AG749" s="1511"/>
      <c r="AH749" s="1375" t="str">
        <f t="shared" si="60"/>
        <v/>
      </c>
      <c r="AI749" s="1376"/>
      <c r="AJ749" s="1377"/>
      <c r="AK749" s="1354" t="s">
        <v>599</v>
      </c>
      <c r="AL749" s="1355"/>
      <c r="AM749" s="1355"/>
      <c r="AN749" s="1355"/>
      <c r="AO749" s="1356"/>
      <c r="AT749"/>
      <c r="AU749"/>
      <c r="AV749"/>
      <c r="AW749"/>
      <c r="AX749"/>
      <c r="AY749" s="1122"/>
      <c r="AZ749" s="1122"/>
      <c r="BA749" s="1122"/>
      <c r="BB749" s="1122"/>
      <c r="BC749" s="112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567"/>
      <c r="H750" s="1568"/>
      <c r="I750" s="1568"/>
      <c r="J750" s="1569"/>
      <c r="K750" s="1363"/>
      <c r="L750" s="1364"/>
      <c r="M750" s="1364"/>
      <c r="N750" s="1365"/>
      <c r="O750" s="1427"/>
      <c r="P750" s="1428"/>
      <c r="Q750" s="1428"/>
      <c r="R750" s="1428"/>
      <c r="S750" s="1429"/>
      <c r="T750" s="1427"/>
      <c r="U750" s="1428"/>
      <c r="V750" s="1428"/>
      <c r="W750" s="1429"/>
      <c r="X750" s="1357">
        <f t="shared" si="61"/>
        <v>0</v>
      </c>
      <c r="Y750" s="1358"/>
      <c r="Z750" s="1358"/>
      <c r="AA750" s="1358"/>
      <c r="AB750" s="1359"/>
      <c r="AC750" s="1509"/>
      <c r="AD750" s="1510"/>
      <c r="AE750" s="1510"/>
      <c r="AF750" s="1510"/>
      <c r="AG750" s="1511"/>
      <c r="AH750" s="1375" t="str">
        <f t="shared" si="60"/>
        <v/>
      </c>
      <c r="AI750" s="1376"/>
      <c r="AJ750" s="1377"/>
      <c r="AK750" s="1354" t="s">
        <v>599</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567"/>
      <c r="H751" s="1568"/>
      <c r="I751" s="1568"/>
      <c r="J751" s="1569"/>
      <c r="K751" s="1363"/>
      <c r="L751" s="1364"/>
      <c r="M751" s="1364"/>
      <c r="N751" s="1365"/>
      <c r="O751" s="1427"/>
      <c r="P751" s="1428"/>
      <c r="Q751" s="1428"/>
      <c r="R751" s="1428"/>
      <c r="S751" s="1429"/>
      <c r="T751" s="1427"/>
      <c r="U751" s="1428"/>
      <c r="V751" s="1428"/>
      <c r="W751" s="1429"/>
      <c r="X751" s="1357">
        <f t="shared" si="61"/>
        <v>0</v>
      </c>
      <c r="Y751" s="1358"/>
      <c r="Z751" s="1358"/>
      <c r="AA751" s="1358"/>
      <c r="AB751" s="1359"/>
      <c r="AC751" s="1509"/>
      <c r="AD751" s="1510"/>
      <c r="AE751" s="1510"/>
      <c r="AF751" s="1510"/>
      <c r="AG751" s="1511"/>
      <c r="AH751" s="1375" t="str">
        <f t="shared" si="60"/>
        <v/>
      </c>
      <c r="AI751" s="1376"/>
      <c r="AJ751" s="1377"/>
      <c r="AK751" s="1354" t="s">
        <v>599</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567"/>
      <c r="H752" s="1568"/>
      <c r="I752" s="1568"/>
      <c r="J752" s="1569"/>
      <c r="K752" s="1363"/>
      <c r="L752" s="1364"/>
      <c r="M752" s="1364"/>
      <c r="N752" s="1365"/>
      <c r="O752" s="1427"/>
      <c r="P752" s="1428"/>
      <c r="Q752" s="1428"/>
      <c r="R752" s="1428"/>
      <c r="S752" s="1429"/>
      <c r="T752" s="1427"/>
      <c r="U752" s="1428"/>
      <c r="V752" s="1428"/>
      <c r="W752" s="1429"/>
      <c r="X752" s="1357">
        <f>O752+T752</f>
        <v>0</v>
      </c>
      <c r="Y752" s="1358"/>
      <c r="Z752" s="1358"/>
      <c r="AA752" s="1358"/>
      <c r="AB752" s="1359"/>
      <c r="AC752" s="1509"/>
      <c r="AD752" s="1510"/>
      <c r="AE752" s="1510"/>
      <c r="AF752" s="1510"/>
      <c r="AG752" s="1511"/>
      <c r="AH752" s="1375" t="str">
        <f>IF($AC752&gt;0,($X752/$BA701), "")</f>
        <v/>
      </c>
      <c r="AI752" s="1376"/>
      <c r="AJ752" s="1377"/>
      <c r="AK752" s="1354" t="s">
        <v>599</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61" t="s">
        <v>125</v>
      </c>
      <c r="C753" s="1562"/>
      <c r="D753" s="1562"/>
      <c r="E753" s="1562"/>
      <c r="F753" s="1563"/>
      <c r="G753" s="1724">
        <f>SUM(G718:G752)</f>
        <v>158</v>
      </c>
      <c r="H753" s="1725"/>
      <c r="I753" s="1725"/>
      <c r="J753" s="1726"/>
      <c r="K753" s="937" t="s">
        <v>124</v>
      </c>
      <c r="L753" s="5"/>
      <c r="M753" s="5"/>
      <c r="N753" s="46"/>
      <c r="O753" s="1357">
        <f>SUMPRODUCT(G718:G752,O718:O752)</f>
        <v>211652</v>
      </c>
      <c r="P753" s="1358"/>
      <c r="Q753" s="1358"/>
      <c r="R753" s="1358"/>
      <c r="S753" s="1359"/>
      <c r="T753"/>
      <c r="U753"/>
      <c r="V753"/>
      <c r="W753"/>
      <c r="X753" s="939" t="s">
        <v>913</v>
      </c>
      <c r="Y753" s="938"/>
      <c r="Z753" s="938"/>
      <c r="AA753" s="938"/>
      <c r="AB753" s="940"/>
      <c r="AC753" s="1372">
        <f>BI703</f>
        <v>0.52658227848101258</v>
      </c>
      <c r="AD753" s="1373"/>
      <c r="AE753" s="1373"/>
      <c r="AF753" s="1373"/>
      <c r="AG753" s="1374"/>
      <c r="AH753" s="1372">
        <f>IFERROR(BV703,"")</f>
        <v>0.52668149033218625</v>
      </c>
      <c r="AI753" s="1373"/>
      <c r="AJ753" s="137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8" t="s">
        <v>2177</v>
      </c>
      <c r="C754" s="1608"/>
      <c r="D754" s="1608"/>
      <c r="E754" s="1608"/>
      <c r="F754" s="1608"/>
      <c r="G754" s="1608"/>
      <c r="H754" s="1608"/>
      <c r="I754" s="1608"/>
      <c r="J754" s="1608"/>
      <c r="K754" s="1608"/>
      <c r="L754" s="1608"/>
      <c r="M754" s="1608"/>
      <c r="N754" s="1608"/>
      <c r="O754" s="1608"/>
      <c r="P754" s="1608"/>
      <c r="Q754" s="1608"/>
      <c r="R754" s="1608"/>
      <c r="S754" s="1608"/>
      <c r="T754" s="1608"/>
      <c r="U754" s="1608"/>
      <c r="V754" s="1608"/>
      <c r="W754" s="1608"/>
      <c r="X754" s="1608"/>
      <c r="Y754" s="1608"/>
      <c r="Z754" s="1608"/>
      <c r="AA754" s="1608"/>
      <c r="AB754" s="1608"/>
      <c r="AC754" s="1608"/>
      <c r="AD754" s="1608"/>
      <c r="AE754" s="1608"/>
      <c r="AF754" s="1608"/>
      <c r="AG754" s="1608"/>
      <c r="AH754" s="160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8"/>
      <c r="C755" s="1608"/>
      <c r="D755" s="1608"/>
      <c r="E755" s="1608"/>
      <c r="F755" s="1608"/>
      <c r="G755" s="1608"/>
      <c r="H755" s="1608"/>
      <c r="I755" s="1608"/>
      <c r="J755" s="1608"/>
      <c r="K755" s="1608"/>
      <c r="L755" s="1608"/>
      <c r="M755" s="1608"/>
      <c r="N755" s="1608"/>
      <c r="O755" s="1608"/>
      <c r="P755" s="1608"/>
      <c r="Q755" s="1608"/>
      <c r="R755" s="1608"/>
      <c r="S755" s="1608"/>
      <c r="T755" s="1608"/>
      <c r="U755" s="1608"/>
      <c r="V755" s="1608"/>
      <c r="W755" s="1608"/>
      <c r="X755" s="1608"/>
      <c r="Y755" s="1608"/>
      <c r="Z755" s="1608"/>
      <c r="AA755" s="1608"/>
      <c r="AB755" s="1608"/>
      <c r="AC755" s="1608"/>
      <c r="AD755" s="1608"/>
      <c r="AE755" s="1608"/>
      <c r="AF755" s="1608"/>
      <c r="AG755" s="1608"/>
      <c r="AH755" s="160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2175</v>
      </c>
      <c r="D756" s="1064"/>
      <c r="E756" s="1064"/>
      <c r="F756" s="1064"/>
      <c r="G756" s="1065"/>
      <c r="H756" s="1065"/>
      <c r="I756" s="1065"/>
      <c r="J756" s="1065"/>
      <c r="K756" s="1064"/>
      <c r="L756" s="1064"/>
      <c r="M756" s="1064"/>
      <c r="N756" s="1064"/>
      <c r="O756" s="1382">
        <f>CS634</f>
        <v>280</v>
      </c>
      <c r="P756" s="1382"/>
      <c r="Q756" s="1382"/>
      <c r="R756" s="1382"/>
      <c r="S756" s="1001"/>
      <c r="T756" s="1001"/>
      <c r="U756" s="118" t="s">
        <v>2176</v>
      </c>
      <c r="V756" s="1064"/>
      <c r="W756" s="1064"/>
      <c r="X756" s="1064"/>
      <c r="Y756" s="1065"/>
      <c r="Z756" s="1065"/>
      <c r="AA756" s="1065"/>
      <c r="AB756" s="1065"/>
      <c r="AC756" s="1064"/>
      <c r="AD756" s="1064"/>
      <c r="AE756" s="1064"/>
      <c r="AF756" s="1064"/>
      <c r="AG756" s="1606"/>
      <c r="AH756" s="1606"/>
      <c r="AI756" s="1606"/>
      <c r="AJ756" s="160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2174</v>
      </c>
      <c r="D759" s="1066"/>
      <c r="E759" s="1066"/>
      <c r="F759" s="1066"/>
      <c r="G759" s="1066"/>
      <c r="H759" s="1066"/>
      <c r="I759" s="1066"/>
      <c r="J759" s="1066"/>
      <c r="K759" s="1066"/>
      <c r="L759" s="1066"/>
      <c r="M759" s="1066"/>
      <c r="N759" s="1066"/>
      <c r="O759" s="1066"/>
      <c r="P759" s="1066"/>
      <c r="Q759" s="1066"/>
      <c r="R759" s="1066"/>
      <c r="S759" s="1066"/>
      <c r="T759" s="1066"/>
      <c r="U759" s="1066"/>
      <c r="V759" s="1066"/>
      <c r="W759" s="1066"/>
      <c r="X759" s="1066"/>
      <c r="Y759" s="1066"/>
      <c r="Z759" s="1066"/>
      <c r="AA759" s="1066"/>
      <c r="AB759" s="1066"/>
      <c r="AC759" s="1066"/>
      <c r="AD759" s="1607" t="s">
        <v>599</v>
      </c>
      <c r="AE759" s="1607"/>
      <c r="AF759" s="1607"/>
      <c r="AG759" s="1066"/>
      <c r="AH759" s="1066"/>
      <c r="AI759" s="1066"/>
      <c r="AJ759" s="1066"/>
      <c r="AK759" s="1066"/>
      <c r="AL759" s="1066"/>
      <c r="AM759" s="1066"/>
      <c r="AN759" s="1066"/>
      <c r="AO759" s="1066"/>
      <c r="AP759" s="1066"/>
      <c r="AQ759" s="1066"/>
      <c r="AR759" s="10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7" t="s">
        <v>2394</v>
      </c>
      <c r="D760" s="1066"/>
      <c r="E760" s="1066"/>
      <c r="F760" s="1066"/>
      <c r="G760" s="1066"/>
      <c r="H760" s="1066"/>
      <c r="I760" s="1066"/>
      <c r="J760" s="1066"/>
      <c r="K760" s="1066"/>
      <c r="L760" s="1066"/>
      <c r="M760" s="1066"/>
      <c r="N760" s="1066"/>
      <c r="O760" s="1066"/>
      <c r="P760" s="1066"/>
      <c r="Q760" s="1066"/>
      <c r="R760" s="1066"/>
      <c r="S760" s="1066"/>
      <c r="T760" s="1066"/>
      <c r="U760" s="1066"/>
      <c r="V760" s="1066"/>
      <c r="W760" s="1066"/>
      <c r="X760" s="1066"/>
      <c r="Y760" s="1066"/>
      <c r="Z760" s="1066"/>
      <c r="AA760" s="1066"/>
      <c r="AB760" s="1066"/>
      <c r="AC760" s="1066"/>
      <c r="AD760" s="1066"/>
      <c r="AE760" s="1066"/>
      <c r="AF760" s="1066"/>
      <c r="AG760" s="1066"/>
      <c r="AH760" s="1066"/>
      <c r="AI760" s="1066"/>
      <c r="AJ760" s="1066"/>
      <c r="AK760" s="1066"/>
      <c r="AL760" s="1066"/>
      <c r="AM760" s="1066"/>
      <c r="AN760" s="1066"/>
      <c r="AO760" s="1066"/>
      <c r="AP760" s="1066"/>
      <c r="AQ760" s="1066"/>
      <c r="AR760" s="10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4"/>
      <c r="C762" s="118" t="s">
        <v>176</v>
      </c>
      <c r="D762" s="1064"/>
      <c r="E762" s="1064"/>
      <c r="F762" s="1064"/>
      <c r="G762" s="385"/>
      <c r="H762" s="385"/>
      <c r="I762" s="385"/>
      <c r="J762" s="385"/>
      <c r="K762" s="385"/>
      <c r="L762" s="1064"/>
      <c r="M762" s="1064"/>
      <c r="N762" s="1064"/>
      <c r="O762" s="1064"/>
      <c r="P762" s="1064"/>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4"/>
      <c r="C763" s="1270" t="s">
        <v>2395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4"/>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4"/>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4"/>
      <c r="C766" s="1270" t="s">
        <v>2396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4"/>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4"/>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5" t="s">
        <v>389</v>
      </c>
      <c r="K769" s="1586"/>
      <c r="L769" s="1586"/>
      <c r="M769" s="1586"/>
      <c r="N769" s="1587"/>
      <c r="O769" s="1727" t="s">
        <v>285</v>
      </c>
      <c r="P769" s="1727"/>
      <c r="Q769" s="1727"/>
      <c r="R769" s="1727"/>
      <c r="S769" s="1727"/>
      <c r="T769" s="1421" t="s">
        <v>1862</v>
      </c>
      <c r="U769" s="1422"/>
      <c r="V769" s="1422"/>
      <c r="W769" s="1423"/>
      <c r="X769" s="1585" t="s">
        <v>455</v>
      </c>
      <c r="Y769" s="1586"/>
      <c r="Z769" s="1586"/>
      <c r="AA769" s="1586"/>
      <c r="AB769" s="1587"/>
      <c r="AC769" s="1585" t="s">
        <v>286</v>
      </c>
      <c r="AD769" s="1586"/>
      <c r="AE769" s="1586"/>
      <c r="AF769" s="1586"/>
      <c r="AG769" s="15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88"/>
      <c r="K770" s="1589"/>
      <c r="L770" s="1589"/>
      <c r="M770" s="1589"/>
      <c r="N770" s="1590"/>
      <c r="O770" s="1727"/>
      <c r="P770" s="1727"/>
      <c r="Q770" s="1727"/>
      <c r="R770" s="1727"/>
      <c r="S770" s="1727"/>
      <c r="T770" s="1424"/>
      <c r="U770" s="1425"/>
      <c r="V770" s="1425"/>
      <c r="W770" s="1426"/>
      <c r="X770" s="1588"/>
      <c r="Y770" s="1589"/>
      <c r="Z770" s="1589"/>
      <c r="AA770" s="1589"/>
      <c r="AB770" s="1590"/>
      <c r="AC770" s="1588"/>
      <c r="AD770" s="1589"/>
      <c r="AE770" s="1589"/>
      <c r="AF770" s="1589"/>
      <c r="AG770" s="15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88"/>
      <c r="K771" s="1589"/>
      <c r="L771" s="1589"/>
      <c r="M771" s="1589"/>
      <c r="N771" s="1590"/>
      <c r="O771" s="1727"/>
      <c r="P771" s="1727"/>
      <c r="Q771" s="1727"/>
      <c r="R771" s="1727"/>
      <c r="S771" s="1727"/>
      <c r="T771" s="1424"/>
      <c r="U771" s="1425"/>
      <c r="V771" s="1425"/>
      <c r="W771" s="1426"/>
      <c r="X771" s="1588"/>
      <c r="Y771" s="1589"/>
      <c r="Z771" s="1589"/>
      <c r="AA771" s="1589"/>
      <c r="AB771" s="1590"/>
      <c r="AC771" s="1588"/>
      <c r="AD771" s="1589"/>
      <c r="AE771" s="1589"/>
      <c r="AF771" s="1589"/>
      <c r="AG771" s="15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91"/>
      <c r="K772" s="1592"/>
      <c r="L772" s="1592"/>
      <c r="M772" s="1592"/>
      <c r="N772" s="1593"/>
      <c r="O772" s="1727"/>
      <c r="P772" s="1727"/>
      <c r="Q772" s="1727"/>
      <c r="R772" s="1727"/>
      <c r="S772" s="1727"/>
      <c r="T772" s="1597"/>
      <c r="U772" s="1598"/>
      <c r="V772" s="1598"/>
      <c r="W772" s="1599"/>
      <c r="X772" s="1591"/>
      <c r="Y772" s="1592"/>
      <c r="Z772" s="1592"/>
      <c r="AA772" s="1592"/>
      <c r="AB772" s="1593"/>
      <c r="AC772" s="1591"/>
      <c r="AD772" s="1592"/>
      <c r="AE772" s="1592"/>
      <c r="AF772" s="1592"/>
      <c r="AG772" s="15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163</v>
      </c>
      <c r="K773" s="1355"/>
      <c r="L773" s="1355"/>
      <c r="M773" s="1355"/>
      <c r="N773" s="1356"/>
      <c r="O773" s="1450">
        <v>2</v>
      </c>
      <c r="P773" s="1450"/>
      <c r="Q773" s="1450"/>
      <c r="R773" s="1450"/>
      <c r="S773" s="1450"/>
      <c r="T773" s="1363">
        <v>778</v>
      </c>
      <c r="U773" s="1364"/>
      <c r="V773" s="1364"/>
      <c r="W773" s="1365"/>
      <c r="X773" s="1427">
        <v>0</v>
      </c>
      <c r="Y773" s="1428"/>
      <c r="Z773" s="1428"/>
      <c r="AA773" s="1428"/>
      <c r="AB773" s="1429"/>
      <c r="AC773" s="1357">
        <f>X773*O773</f>
        <v>0</v>
      </c>
      <c r="AD773" s="1358"/>
      <c r="AE773" s="1358"/>
      <c r="AF773" s="1358"/>
      <c r="AG773" s="1359"/>
      <c r="AH773" s="1053"/>
      <c r="AI773" s="116"/>
      <c r="AJ773" s="116"/>
      <c r="AK773" s="1053"/>
      <c r="AL773" s="105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50"/>
      <c r="P774" s="1450"/>
      <c r="Q774" s="1450"/>
      <c r="R774" s="1450"/>
      <c r="S774" s="1450"/>
      <c r="T774" s="1363"/>
      <c r="U774" s="1364"/>
      <c r="V774" s="1364"/>
      <c r="W774" s="1365"/>
      <c r="X774" s="1427"/>
      <c r="Y774" s="1428"/>
      <c r="Z774" s="1428"/>
      <c r="AA774" s="1428"/>
      <c r="AB774" s="1429"/>
      <c r="AC774" s="1357">
        <f>X774*O774</f>
        <v>0</v>
      </c>
      <c r="AD774" s="1358"/>
      <c r="AE774" s="1358"/>
      <c r="AF774" s="1358"/>
      <c r="AG774" s="1359"/>
      <c r="AH774" s="1053"/>
      <c r="AI774" s="1053"/>
      <c r="AJ774" s="1053"/>
      <c r="AK774" s="1053"/>
      <c r="AL774" s="105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50"/>
      <c r="P775" s="1450"/>
      <c r="Q775" s="1450"/>
      <c r="R775" s="1450"/>
      <c r="S775" s="1450"/>
      <c r="T775" s="1363"/>
      <c r="U775" s="1364"/>
      <c r="V775" s="1364"/>
      <c r="W775" s="1365"/>
      <c r="X775" s="1427"/>
      <c r="Y775" s="1428"/>
      <c r="Z775" s="1428"/>
      <c r="AA775" s="1428"/>
      <c r="AB775" s="1429"/>
      <c r="AC775" s="1357">
        <f>X775*O775</f>
        <v>0</v>
      </c>
      <c r="AD775" s="1358"/>
      <c r="AE775" s="1358"/>
      <c r="AF775" s="1358"/>
      <c r="AG775" s="1359"/>
      <c r="AH775" s="1053"/>
      <c r="AI775" s="1053"/>
      <c r="AJ775" s="1053"/>
      <c r="AK775" s="1053"/>
      <c r="AL775" s="105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50"/>
      <c r="P776" s="1450"/>
      <c r="Q776" s="1450"/>
      <c r="R776" s="1450"/>
      <c r="S776" s="1450"/>
      <c r="T776" s="1363"/>
      <c r="U776" s="1364"/>
      <c r="V776" s="1364"/>
      <c r="W776" s="1365"/>
      <c r="X776" s="1427"/>
      <c r="Y776" s="1428"/>
      <c r="Z776" s="1428"/>
      <c r="AA776" s="1428"/>
      <c r="AB776" s="1429"/>
      <c r="AC776" s="1357">
        <f>X776*O776</f>
        <v>0</v>
      </c>
      <c r="AD776" s="1358"/>
      <c r="AE776" s="1358"/>
      <c r="AF776" s="1358"/>
      <c r="AG776" s="1359"/>
      <c r="AH776" s="1053"/>
      <c r="AI776" s="1053"/>
      <c r="AJ776" s="1053"/>
      <c r="AK776" s="1053"/>
      <c r="AL776" s="105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61" t="s">
        <v>125</v>
      </c>
      <c r="K777" s="1562"/>
      <c r="L777" s="1562"/>
      <c r="M777" s="1562"/>
      <c r="N777" s="1563"/>
      <c r="O777" s="1504">
        <f>SUM(O773:S776)</f>
        <v>2</v>
      </c>
      <c r="P777" s="1676"/>
      <c r="Q777" s="1676"/>
      <c r="R777" s="1676"/>
      <c r="S777" s="1505"/>
      <c r="X777" s="1561" t="s">
        <v>124</v>
      </c>
      <c r="Y777" s="1562"/>
      <c r="Z777" s="1562"/>
      <c r="AA777" s="1562"/>
      <c r="AB777" s="1563"/>
      <c r="AC777" s="1357">
        <f>SUM(AC773:AG776)</f>
        <v>0</v>
      </c>
      <c r="AD777" s="1358"/>
      <c r="AE777" s="1358"/>
      <c r="AF777" s="1358"/>
      <c r="AG777" s="1359"/>
      <c r="AI777" s="1053"/>
      <c r="AJ777" s="105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90" t="s">
        <v>677</v>
      </c>
      <c r="K779" s="1390"/>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2397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5" t="s">
        <v>389</v>
      </c>
      <c r="K783" s="1586"/>
      <c r="L783" s="1586"/>
      <c r="M783" s="1586"/>
      <c r="N783" s="1587"/>
      <c r="O783" s="1727" t="s">
        <v>285</v>
      </c>
      <c r="P783" s="1727"/>
      <c r="Q783" s="1727"/>
      <c r="R783" s="1727"/>
      <c r="S783" s="1727"/>
      <c r="T783" s="1421" t="s">
        <v>1862</v>
      </c>
      <c r="U783" s="1422"/>
      <c r="V783" s="1422"/>
      <c r="W783" s="1423"/>
      <c r="X783" s="1585" t="s">
        <v>455</v>
      </c>
      <c r="Y783" s="1586"/>
      <c r="Z783" s="1586"/>
      <c r="AA783" s="1586"/>
      <c r="AB783" s="1587"/>
      <c r="AC783" s="1585" t="s">
        <v>286</v>
      </c>
      <c r="AD783" s="1586"/>
      <c r="AE783" s="1586"/>
      <c r="AF783" s="1586"/>
      <c r="AG783" s="15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88"/>
      <c r="K784" s="1589"/>
      <c r="L784" s="1589"/>
      <c r="M784" s="1589"/>
      <c r="N784" s="1590"/>
      <c r="O784" s="1727"/>
      <c r="P784" s="1727"/>
      <c r="Q784" s="1727"/>
      <c r="R784" s="1727"/>
      <c r="S784" s="1727"/>
      <c r="T784" s="1424"/>
      <c r="U784" s="1425"/>
      <c r="V784" s="1425"/>
      <c r="W784" s="1426"/>
      <c r="X784" s="1588"/>
      <c r="Y784" s="1589"/>
      <c r="Z784" s="1589"/>
      <c r="AA784" s="1589"/>
      <c r="AB784" s="1590"/>
      <c r="AC784" s="1588"/>
      <c r="AD784" s="1589"/>
      <c r="AE784" s="1589"/>
      <c r="AF784" s="1589"/>
      <c r="AG784" s="15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88"/>
      <c r="K785" s="1589"/>
      <c r="L785" s="1589"/>
      <c r="M785" s="1589"/>
      <c r="N785" s="1590"/>
      <c r="O785" s="1727"/>
      <c r="P785" s="1727"/>
      <c r="Q785" s="1727"/>
      <c r="R785" s="1727"/>
      <c r="S785" s="1727"/>
      <c r="T785" s="1424"/>
      <c r="U785" s="1425"/>
      <c r="V785" s="1425"/>
      <c r="W785" s="1426"/>
      <c r="X785" s="1588"/>
      <c r="Y785" s="1589"/>
      <c r="Z785" s="1589"/>
      <c r="AA785" s="1589"/>
      <c r="AB785" s="1590"/>
      <c r="AC785" s="1588"/>
      <c r="AD785" s="1589"/>
      <c r="AE785" s="1589"/>
      <c r="AF785" s="1589"/>
      <c r="AG785" s="15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91"/>
      <c r="K786" s="1592"/>
      <c r="L786" s="1592"/>
      <c r="M786" s="1592"/>
      <c r="N786" s="1593"/>
      <c r="O786" s="1727"/>
      <c r="P786" s="1727"/>
      <c r="Q786" s="1727"/>
      <c r="R786" s="1727"/>
      <c r="S786" s="1727"/>
      <c r="T786" s="1597"/>
      <c r="U786" s="1598"/>
      <c r="V786" s="1598"/>
      <c r="W786" s="1599"/>
      <c r="X786" s="1591"/>
      <c r="Y786" s="1592"/>
      <c r="Z786" s="1592"/>
      <c r="AA786" s="1592"/>
      <c r="AB786" s="1593"/>
      <c r="AC786" s="1591"/>
      <c r="AD786" s="1592"/>
      <c r="AE786" s="1592"/>
      <c r="AF786" s="1592"/>
      <c r="AG786" s="15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50"/>
      <c r="P787" s="1450"/>
      <c r="Q787" s="1450"/>
      <c r="R787" s="1450"/>
      <c r="S787" s="1450"/>
      <c r="T787" s="1363"/>
      <c r="U787" s="1364"/>
      <c r="V787" s="1364"/>
      <c r="W787" s="1365"/>
      <c r="X787" s="1427"/>
      <c r="Y787" s="1428"/>
      <c r="Z787" s="1428"/>
      <c r="AA787" s="1428"/>
      <c r="AB787" s="1429"/>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50"/>
      <c r="P788" s="1450"/>
      <c r="Q788" s="1450"/>
      <c r="R788" s="1450"/>
      <c r="S788" s="1450"/>
      <c r="T788" s="1363"/>
      <c r="U788" s="1364"/>
      <c r="V788" s="1364"/>
      <c r="W788" s="1365"/>
      <c r="X788" s="1427"/>
      <c r="Y788" s="1428"/>
      <c r="Z788" s="1428"/>
      <c r="AA788" s="1428"/>
      <c r="AB788" s="1429"/>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50"/>
      <c r="P789" s="1450"/>
      <c r="Q789" s="1450"/>
      <c r="R789" s="1450"/>
      <c r="S789" s="1450"/>
      <c r="T789" s="1363"/>
      <c r="U789" s="1364"/>
      <c r="V789" s="1364"/>
      <c r="W789" s="1365"/>
      <c r="X789" s="1427"/>
      <c r="Y789" s="1428"/>
      <c r="Z789" s="1428"/>
      <c r="AA789" s="1428"/>
      <c r="AB789" s="1429"/>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50"/>
      <c r="P790" s="1450"/>
      <c r="Q790" s="1450"/>
      <c r="R790" s="1450"/>
      <c r="S790" s="1450"/>
      <c r="T790" s="1363"/>
      <c r="U790" s="1364"/>
      <c r="V790" s="1364"/>
      <c r="W790" s="1365"/>
      <c r="X790" s="1427"/>
      <c r="Y790" s="1428"/>
      <c r="Z790" s="1428"/>
      <c r="AA790" s="1428"/>
      <c r="AB790" s="1429"/>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50"/>
      <c r="P791" s="1450"/>
      <c r="Q791" s="1450"/>
      <c r="R791" s="1450"/>
      <c r="S791" s="1450"/>
      <c r="T791" s="1363"/>
      <c r="U791" s="1364"/>
      <c r="V791" s="1364"/>
      <c r="W791" s="1365"/>
      <c r="X791" s="1427"/>
      <c r="Y791" s="1428"/>
      <c r="Z791" s="1428"/>
      <c r="AA791" s="1428"/>
      <c r="AB791" s="1429"/>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50"/>
      <c r="P792" s="1450"/>
      <c r="Q792" s="1450"/>
      <c r="R792" s="1450"/>
      <c r="S792" s="1450"/>
      <c r="T792" s="1363"/>
      <c r="U792" s="1364"/>
      <c r="V792" s="1364"/>
      <c r="W792" s="1365"/>
      <c r="X792" s="1427"/>
      <c r="Y792" s="1428"/>
      <c r="Z792" s="1428"/>
      <c r="AA792" s="1428"/>
      <c r="AB792" s="1429"/>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50"/>
      <c r="P793" s="1450"/>
      <c r="Q793" s="1450"/>
      <c r="R793" s="1450"/>
      <c r="S793" s="1450"/>
      <c r="T793" s="1363"/>
      <c r="U793" s="1364"/>
      <c r="V793" s="1364"/>
      <c r="W793" s="1365"/>
      <c r="X793" s="1427"/>
      <c r="Y793" s="1428"/>
      <c r="Z793" s="1428"/>
      <c r="AA793" s="1428"/>
      <c r="AB793" s="1429"/>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50"/>
      <c r="P794" s="1450"/>
      <c r="Q794" s="1450"/>
      <c r="R794" s="1450"/>
      <c r="S794" s="1450"/>
      <c r="T794" s="1363"/>
      <c r="U794" s="1364"/>
      <c r="V794" s="1364"/>
      <c r="W794" s="1365"/>
      <c r="X794" s="1427"/>
      <c r="Y794" s="1428"/>
      <c r="Z794" s="1428"/>
      <c r="AA794" s="1428"/>
      <c r="AB794" s="1429"/>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50"/>
      <c r="P795" s="1450"/>
      <c r="Q795" s="1450"/>
      <c r="R795" s="1450"/>
      <c r="S795" s="1450"/>
      <c r="T795" s="1363"/>
      <c r="U795" s="1364"/>
      <c r="V795" s="1364"/>
      <c r="W795" s="1365"/>
      <c r="X795" s="1427"/>
      <c r="Y795" s="1428"/>
      <c r="Z795" s="1428"/>
      <c r="AA795" s="1428"/>
      <c r="AB795" s="1429"/>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50"/>
      <c r="P796" s="1450"/>
      <c r="Q796" s="1450"/>
      <c r="R796" s="1450"/>
      <c r="S796" s="1450"/>
      <c r="T796" s="1363"/>
      <c r="U796" s="1364"/>
      <c r="V796" s="1364"/>
      <c r="W796" s="1365"/>
      <c r="X796" s="1427"/>
      <c r="Y796" s="1428"/>
      <c r="Z796" s="1428"/>
      <c r="AA796" s="1428"/>
      <c r="AB796" s="1429"/>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7" t="s">
        <v>477</v>
      </c>
      <c r="BO796" s="1698"/>
      <c r="BP796" s="3"/>
      <c r="BQ796" s="3"/>
      <c r="BR796" s="3"/>
      <c r="BS796" s="14" t="s">
        <v>642</v>
      </c>
      <c r="BT796" s="14"/>
      <c r="BU796" s="14"/>
      <c r="BV796" s="14"/>
      <c r="BW796" s="14"/>
      <c r="BX796" s="14"/>
      <c r="BY796" s="14"/>
      <c r="BZ796" s="14"/>
      <c r="CA796" s="14"/>
      <c r="CB796" s="1694" t="str">
        <f>T189</f>
        <v>Los Angeles</v>
      </c>
      <c r="CC796" s="1695"/>
      <c r="CD796" s="1695"/>
      <c r="CE796" s="1695"/>
      <c r="CF796" s="1695"/>
      <c r="CG796" s="1695"/>
      <c r="CH796" s="16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61" t="s">
        <v>125</v>
      </c>
      <c r="K797" s="1562"/>
      <c r="L797" s="1562"/>
      <c r="M797" s="1562"/>
      <c r="N797" s="1563"/>
      <c r="O797" s="1613">
        <f>SUM(O787:S796)</f>
        <v>0</v>
      </c>
      <c r="P797" s="1613"/>
      <c r="Q797" s="1613"/>
      <c r="R797" s="1613"/>
      <c r="S797" s="1613"/>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835" t="str">
        <f>IF(O797&lt;&gt;AG438,"! Total market rate units in the Unit Mix Table above does not match the number of  market rate units on row #"&amp;TEXT(ROW(D438),"#"),"")</f>
        <v/>
      </c>
      <c r="D798" s="1835"/>
      <c r="E798" s="1835"/>
      <c r="F798" s="1835"/>
      <c r="G798" s="1835"/>
      <c r="H798" s="1835"/>
      <c r="I798" s="1835"/>
      <c r="J798" s="1835"/>
      <c r="K798" s="1835"/>
      <c r="L798" s="1835"/>
      <c r="M798" s="1835"/>
      <c r="N798" s="1835"/>
      <c r="O798" s="1835"/>
      <c r="P798" s="1835"/>
      <c r="Q798" s="1835"/>
      <c r="R798" s="1835"/>
      <c r="S798" s="1835"/>
      <c r="T798" s="1835"/>
      <c r="U798" s="1835"/>
      <c r="V798" s="1835"/>
      <c r="W798" s="1835"/>
      <c r="X798" s="1835"/>
      <c r="Y798" s="1835"/>
      <c r="Z798" s="1835"/>
      <c r="AA798" s="1835"/>
      <c r="AB798" s="1835"/>
      <c r="AC798" s="1835"/>
      <c r="AD798" s="1835"/>
      <c r="AE798" s="1835"/>
      <c r="AF798" s="1835"/>
      <c r="AG798" s="1835"/>
      <c r="AH798" s="1835"/>
      <c r="AI798" s="1835"/>
      <c r="AJ798" s="1835"/>
      <c r="AK798" s="1835"/>
      <c r="AL798" s="1835"/>
      <c r="AM798" s="1835"/>
      <c r="AN798" s="183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835"/>
      <c r="D799" s="1835"/>
      <c r="E799" s="1835"/>
      <c r="F799" s="1835"/>
      <c r="G799" s="1835"/>
      <c r="H799" s="1835"/>
      <c r="I799" s="1835"/>
      <c r="J799" s="1835"/>
      <c r="K799" s="1835"/>
      <c r="L799" s="1835"/>
      <c r="M799" s="1835"/>
      <c r="N799" s="1835"/>
      <c r="O799" s="1835"/>
      <c r="P799" s="1835"/>
      <c r="Q799" s="1835"/>
      <c r="R799" s="1835"/>
      <c r="S799" s="1835"/>
      <c r="T799" s="1835"/>
      <c r="U799" s="1835"/>
      <c r="V799" s="1835"/>
      <c r="W799" s="1835"/>
      <c r="X799" s="1835"/>
      <c r="Y799" s="1835"/>
      <c r="Z799" s="1835"/>
      <c r="AA799" s="1835"/>
      <c r="AB799" s="1835"/>
      <c r="AC799" s="1835"/>
      <c r="AD799" s="1835"/>
      <c r="AE799" s="1835"/>
      <c r="AF799" s="1835"/>
      <c r="AG799" s="1835"/>
      <c r="AH799" s="1835"/>
      <c r="AI799" s="1835"/>
      <c r="AJ799" s="1835"/>
      <c r="AK799" s="1835"/>
      <c r="AL799" s="1835"/>
      <c r="AM799" s="1835"/>
      <c r="AN799" s="183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2622</v>
      </c>
      <c r="BP799" s="32"/>
      <c r="BQ799" s="32"/>
      <c r="BR799" s="32"/>
      <c r="BS799" s="32"/>
      <c r="BT799" s="32"/>
      <c r="BU799" s="14"/>
      <c r="BV799" s="31" t="s">
        <v>2623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5">
        <f>O753+AC777+AC797</f>
        <v>211652</v>
      </c>
      <c r="Z800" s="1595"/>
      <c r="AA800" s="1595"/>
      <c r="AB800" s="1595"/>
      <c r="AC800" s="159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5">
        <f>(O753+AC777+AC797)*12</f>
        <v>2539824</v>
      </c>
      <c r="Z801" s="1595"/>
      <c r="AA801" s="1595"/>
      <c r="AB801" s="1595"/>
      <c r="AC801" s="159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68"/>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0</v>
      </c>
      <c r="AA808" s="1624"/>
      <c r="AB808" s="1624"/>
      <c r="AC808" s="1624"/>
      <c r="AD808" s="16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2">
        <f>'Subsidy Contract Calculation'!J40</f>
        <v>0</v>
      </c>
      <c r="AA809" s="1583"/>
      <c r="AB809" s="1583"/>
      <c r="AC809" s="1583"/>
      <c r="AD809" s="1583"/>
      <c r="AE809" s="158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1">
        <v>46978.10526315801</v>
      </c>
      <c r="AA813" s="1572"/>
      <c r="AB813" s="1572"/>
      <c r="AC813" s="1572"/>
      <c r="AD813" s="1572"/>
      <c r="AE813" s="157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1"/>
      <c r="AA814" s="1572"/>
      <c r="AB814" s="1572"/>
      <c r="AC814" s="1572"/>
      <c r="AD814" s="1572"/>
      <c r="AE814" s="157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1"/>
      <c r="AA815" s="1572"/>
      <c r="AB815" s="1572"/>
      <c r="AC815" s="1572"/>
      <c r="AD815" s="1572"/>
      <c r="AE815" s="157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c r="Q816" s="1619"/>
      <c r="R816" s="1619"/>
      <c r="S816" s="1619"/>
      <c r="T816" s="1619"/>
      <c r="U816" s="1619"/>
      <c r="V816" s="1619"/>
      <c r="W816" s="1619"/>
      <c r="X816" s="1619"/>
      <c r="Y816" s="1620"/>
      <c r="Z816" s="1571"/>
      <c r="AA816" s="1572"/>
      <c r="AB816" s="1572"/>
      <c r="AC816" s="1572"/>
      <c r="AD816" s="1572"/>
      <c r="AE816" s="157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2">
        <f>SUM(Z813:AE816)</f>
        <v>46978.10526315801</v>
      </c>
      <c r="AA817" s="1583"/>
      <c r="AB817" s="1583"/>
      <c r="AC817" s="1583"/>
      <c r="AD817" s="1583"/>
      <c r="AE817" s="158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2">
        <f>Z817+Y801+Z809</f>
        <v>2586802.1052631582</v>
      </c>
      <c r="AA818" s="1583"/>
      <c r="AB818" s="1583"/>
      <c r="AC818" s="1583"/>
      <c r="AD818" s="1583"/>
      <c r="AE818" s="158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0" t="s">
        <v>126</v>
      </c>
      <c r="N823" s="1600"/>
      <c r="O823" s="1600"/>
      <c r="P823" s="1601"/>
      <c r="Q823" s="1581" t="s">
        <v>290</v>
      </c>
      <c r="R823" s="1581"/>
      <c r="S823" s="1581"/>
      <c r="T823" s="1581"/>
      <c r="U823" s="1581" t="s">
        <v>291</v>
      </c>
      <c r="V823" s="1581"/>
      <c r="W823" s="1581"/>
      <c r="X823" s="1581"/>
      <c r="Y823" s="1581" t="s">
        <v>292</v>
      </c>
      <c r="Z823" s="1581"/>
      <c r="AA823" s="1581"/>
      <c r="AB823" s="1581"/>
      <c r="AC823" s="1581" t="s">
        <v>361</v>
      </c>
      <c r="AD823" s="1581"/>
      <c r="AE823" s="1581"/>
      <c r="AF823" s="1581"/>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2"/>
      <c r="N824" s="1602"/>
      <c r="O824" s="1602"/>
      <c r="P824" s="1603"/>
      <c r="Q824" s="1581"/>
      <c r="R824" s="1581"/>
      <c r="S824" s="1581"/>
      <c r="T824" s="1581"/>
      <c r="U824" s="1581"/>
      <c r="V824" s="1581"/>
      <c r="W824" s="1581"/>
      <c r="X824" s="1581"/>
      <c r="Y824" s="1581"/>
      <c r="Z824" s="1581"/>
      <c r="AA824" s="1581"/>
      <c r="AB824" s="1581"/>
      <c r="AC824" s="1581"/>
      <c r="AD824" s="1581"/>
      <c r="AE824" s="1581"/>
      <c r="AF824" s="1581"/>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9" t="s">
        <v>40</v>
      </c>
      <c r="D825" s="1371"/>
      <c r="E825" s="1371"/>
      <c r="F825" s="1371"/>
      <c r="G825" s="1371"/>
      <c r="H825" s="1371"/>
      <c r="I825" s="48"/>
      <c r="J825" s="48"/>
      <c r="K825" s="48"/>
      <c r="L825" s="49"/>
      <c r="M825" s="1594"/>
      <c r="N825" s="1594"/>
      <c r="O825" s="1594"/>
      <c r="P825" s="1594"/>
      <c r="Q825" s="1594">
        <v>20</v>
      </c>
      <c r="R825" s="1594"/>
      <c r="S825" s="1594"/>
      <c r="T825" s="1594"/>
      <c r="U825" s="1594">
        <v>25</v>
      </c>
      <c r="V825" s="1594"/>
      <c r="W825" s="1594"/>
      <c r="X825" s="1594"/>
      <c r="Y825" s="1594">
        <v>32</v>
      </c>
      <c r="Z825" s="1594"/>
      <c r="AA825" s="1594"/>
      <c r="AB825" s="1594"/>
      <c r="AC825" s="1439"/>
      <c r="AD825" s="1440"/>
      <c r="AE825" s="1440"/>
      <c r="AF825" s="1441"/>
      <c r="AG825" s="1439"/>
      <c r="AH825" s="1440"/>
      <c r="AI825" s="1440"/>
      <c r="AJ825" s="144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56" t="s">
        <v>41</v>
      </c>
      <c r="D826" s="1454"/>
      <c r="E826" s="1454"/>
      <c r="F826" s="1454"/>
      <c r="G826" s="1454"/>
      <c r="H826" s="1454"/>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439"/>
      <c r="AD826" s="1440"/>
      <c r="AE826" s="1440"/>
      <c r="AF826" s="1441"/>
      <c r="AG826" s="1439"/>
      <c r="AH826" s="1440"/>
      <c r="AI826" s="1440"/>
      <c r="AJ826" s="144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56" t="s">
        <v>42</v>
      </c>
      <c r="D827" s="1454"/>
      <c r="E827" s="1454"/>
      <c r="F827" s="1454"/>
      <c r="G827" s="1454"/>
      <c r="H827" s="1454"/>
      <c r="I827" s="60"/>
      <c r="J827" s="60"/>
      <c r="K827" s="60"/>
      <c r="L827" s="61"/>
      <c r="M827" s="1594"/>
      <c r="N827" s="1594"/>
      <c r="O827" s="1594"/>
      <c r="P827" s="1594"/>
      <c r="Q827" s="1594">
        <v>10</v>
      </c>
      <c r="R827" s="1594"/>
      <c r="S827" s="1594"/>
      <c r="T827" s="1594"/>
      <c r="U827" s="1594">
        <v>13</v>
      </c>
      <c r="V827" s="1594"/>
      <c r="W827" s="1594"/>
      <c r="X827" s="1594"/>
      <c r="Y827" s="1594">
        <v>16</v>
      </c>
      <c r="Z827" s="1594"/>
      <c r="AA827" s="1594"/>
      <c r="AB827" s="1594"/>
      <c r="AC827" s="1439"/>
      <c r="AD827" s="1440"/>
      <c r="AE827" s="1440"/>
      <c r="AF827" s="1441"/>
      <c r="AG827" s="1439"/>
      <c r="AH827" s="1440"/>
      <c r="AI827" s="1440"/>
      <c r="AJ827" s="144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56" t="s">
        <v>771</v>
      </c>
      <c r="D828" s="1454"/>
      <c r="E828" s="1454"/>
      <c r="F828" s="1454"/>
      <c r="G828" s="1454"/>
      <c r="H828" s="1454"/>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439"/>
      <c r="AD828" s="1440"/>
      <c r="AE828" s="1440"/>
      <c r="AF828" s="1441"/>
      <c r="AG828" s="1439"/>
      <c r="AH828" s="1440"/>
      <c r="AI828" s="1440"/>
      <c r="AJ828" s="144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56" t="s">
        <v>467</v>
      </c>
      <c r="D829" s="1454"/>
      <c r="E829" s="1454"/>
      <c r="F829" s="1454"/>
      <c r="G829" s="1454"/>
      <c r="H829" s="1454"/>
      <c r="I829" s="60"/>
      <c r="J829" s="60"/>
      <c r="K829" s="60"/>
      <c r="L829" s="61"/>
      <c r="M829" s="1594"/>
      <c r="N829" s="1594"/>
      <c r="O829" s="1594"/>
      <c r="P829" s="1594"/>
      <c r="Q829" s="1594">
        <v>33</v>
      </c>
      <c r="R829" s="1594"/>
      <c r="S829" s="1594"/>
      <c r="T829" s="1594"/>
      <c r="U829" s="1594">
        <v>40</v>
      </c>
      <c r="V829" s="1594"/>
      <c r="W829" s="1594"/>
      <c r="X829" s="1594"/>
      <c r="Y829" s="1594">
        <v>48</v>
      </c>
      <c r="Z829" s="1594"/>
      <c r="AA829" s="1594"/>
      <c r="AB829" s="1594"/>
      <c r="AC829" s="1439"/>
      <c r="AD829" s="1440"/>
      <c r="AE829" s="1440"/>
      <c r="AF829" s="1441"/>
      <c r="AG829" s="1439"/>
      <c r="AH829" s="1440"/>
      <c r="AI829" s="1440"/>
      <c r="AJ829" s="144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19" t="s">
        <v>792</v>
      </c>
      <c r="D830" s="1454"/>
      <c r="E830" s="1454"/>
      <c r="F830" s="1454"/>
      <c r="G830" s="1454"/>
      <c r="H830" s="1454"/>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439"/>
      <c r="AD830" s="1440"/>
      <c r="AE830" s="1440"/>
      <c r="AF830" s="1441"/>
      <c r="AG830" s="1439"/>
      <c r="AH830" s="1440"/>
      <c r="AI830" s="1440"/>
      <c r="AJ830" s="144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2716</v>
      </c>
      <c r="G831" s="1619"/>
      <c r="H831" s="1619"/>
      <c r="I831" s="1619"/>
      <c r="J831" s="1619"/>
      <c r="K831" s="1619"/>
      <c r="L831" s="1619"/>
      <c r="M831" s="1594"/>
      <c r="N831" s="1594"/>
      <c r="O831" s="1594"/>
      <c r="P831" s="1594"/>
      <c r="Q831" s="1594">
        <v>15</v>
      </c>
      <c r="R831" s="1594"/>
      <c r="S831" s="1594"/>
      <c r="T831" s="1594"/>
      <c r="U831" s="1594">
        <v>20</v>
      </c>
      <c r="V831" s="1594"/>
      <c r="W831" s="1594"/>
      <c r="X831" s="1594"/>
      <c r="Y831" s="1594">
        <v>25</v>
      </c>
      <c r="Z831" s="1594"/>
      <c r="AA831" s="1594"/>
      <c r="AB831" s="1594"/>
      <c r="AC831" s="1439"/>
      <c r="AD831" s="1440"/>
      <c r="AE831" s="1440"/>
      <c r="AF831" s="1441"/>
      <c r="AG831" s="1439"/>
      <c r="AH831" s="1440"/>
      <c r="AI831" s="1440"/>
      <c r="AJ831" s="144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61" t="s">
        <v>124</v>
      </c>
      <c r="D832" s="1562"/>
      <c r="E832" s="1562"/>
      <c r="F832" s="1562"/>
      <c r="G832" s="1562"/>
      <c r="H832" s="1562"/>
      <c r="I832" s="1562"/>
      <c r="J832" s="1562"/>
      <c r="K832" s="1562"/>
      <c r="L832" s="1563"/>
      <c r="M832" s="1605">
        <f>SUM(M825:P831)</f>
        <v>0</v>
      </c>
      <c r="N832" s="1605"/>
      <c r="O832" s="1605"/>
      <c r="P832" s="1605"/>
      <c r="Q832" s="1605">
        <f>SUM(Q825:T831)</f>
        <v>78</v>
      </c>
      <c r="R832" s="1605"/>
      <c r="S832" s="1605"/>
      <c r="T832" s="1605"/>
      <c r="U832" s="1605">
        <f>SUM(U825:X831)</f>
        <v>98</v>
      </c>
      <c r="V832" s="1605"/>
      <c r="W832" s="1605"/>
      <c r="X832" s="1605"/>
      <c r="Y832" s="1605">
        <f>SUM(Y825:AB831)</f>
        <v>121</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3" t="s">
        <v>2760</v>
      </c>
      <c r="D837" s="1704"/>
      <c r="E837" s="1704"/>
      <c r="F837" s="1704"/>
      <c r="G837" s="1704"/>
      <c r="H837" s="1704"/>
      <c r="I837" s="1704"/>
      <c r="J837" s="1704"/>
      <c r="K837" s="1704"/>
      <c r="L837" s="1704"/>
      <c r="M837" s="1704"/>
      <c r="N837" s="1704"/>
      <c r="O837" s="1704"/>
      <c r="P837" s="1704"/>
      <c r="Q837" s="1704"/>
      <c r="R837" s="1704"/>
      <c r="S837" s="1704"/>
      <c r="T837" s="1704"/>
      <c r="U837" s="1704"/>
      <c r="V837" s="1704"/>
      <c r="W837" s="1704"/>
      <c r="X837" s="1704"/>
      <c r="Y837" s="1704"/>
      <c r="Z837" s="1704"/>
      <c r="AA837" s="1704"/>
      <c r="AB837" s="1704"/>
      <c r="AC837" s="1704"/>
      <c r="AD837" s="1704"/>
      <c r="AE837" s="1704"/>
      <c r="AF837" s="1704"/>
      <c r="AG837" s="1704"/>
      <c r="AH837" s="1704"/>
      <c r="AI837" s="1704"/>
      <c r="AJ837" s="170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4">
        <v>4860</v>
      </c>
      <c r="X842" s="1614"/>
      <c r="Y842" s="1614"/>
      <c r="Z842" s="1614"/>
      <c r="AA842" s="1614"/>
      <c r="AB842" s="1614"/>
      <c r="AC842" s="161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71">
        <v>5000</v>
      </c>
      <c r="X843" s="1572"/>
      <c r="Y843" s="1572"/>
      <c r="Z843" s="1572"/>
      <c r="AA843" s="1572"/>
      <c r="AB843" s="1572"/>
      <c r="AC843" s="157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4">
        <v>11000</v>
      </c>
      <c r="X844" s="1614"/>
      <c r="Y844" s="1614"/>
      <c r="Z844" s="1614"/>
      <c r="AA844" s="1614"/>
      <c r="AB844" s="1614"/>
      <c r="AC844" s="1614"/>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4">
        <v>13200</v>
      </c>
      <c r="X845" s="1614"/>
      <c r="Y845" s="1614"/>
      <c r="Z845" s="1614"/>
      <c r="AA845" s="1614"/>
      <c r="AB845" s="1614"/>
      <c r="AC845" s="1614"/>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852</v>
      </c>
      <c r="N846" s="1619"/>
      <c r="O846" s="1619"/>
      <c r="P846" s="1619"/>
      <c r="Q846" s="1619"/>
      <c r="R846" s="1619"/>
      <c r="S846" s="1619"/>
      <c r="T846" s="1619"/>
      <c r="U846" s="1619"/>
      <c r="V846" s="1620"/>
      <c r="W846" s="1614">
        <v>45000</v>
      </c>
      <c r="X846" s="1614"/>
      <c r="Y846" s="1614"/>
      <c r="Z846" s="1614"/>
      <c r="AA846" s="1614"/>
      <c r="AB846" s="1614"/>
      <c r="AC846" s="1614"/>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2">
        <f>SUM(W842:AC846)</f>
        <v>79060</v>
      </c>
      <c r="X847" s="1583"/>
      <c r="Y847" s="1583"/>
      <c r="Z847" s="1583"/>
      <c r="AA847" s="1583"/>
      <c r="AB847" s="1583"/>
      <c r="AC847" s="158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61" t="s">
        <v>345</v>
      </c>
      <c r="K849" s="1562"/>
      <c r="L849" s="1562"/>
      <c r="M849" s="1562"/>
      <c r="N849" s="1562"/>
      <c r="O849" s="1562"/>
      <c r="P849" s="1562"/>
      <c r="Q849" s="1562"/>
      <c r="R849" s="1562"/>
      <c r="S849" s="1562"/>
      <c r="T849" s="1562"/>
      <c r="U849" s="1562"/>
      <c r="V849" s="1563"/>
      <c r="W849" s="1571">
        <v>104442.13500000001</v>
      </c>
      <c r="X849" s="1572"/>
      <c r="Y849" s="1572"/>
      <c r="Z849" s="1572"/>
      <c r="AA849" s="1572"/>
      <c r="AB849" s="1572"/>
      <c r="AC849" s="157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5"/>
      <c r="X851" s="1615"/>
      <c r="Y851" s="1615"/>
      <c r="Z851" s="1615"/>
      <c r="AA851" s="1615"/>
      <c r="AB851" s="1615"/>
      <c r="AC851" s="1615"/>
      <c r="AZ851" s="1642">
        <f>SUM(AZ818:AZ846)</f>
        <v>7.5000000000000011E-2</v>
      </c>
      <c r="BA851" s="164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5"/>
      <c r="X852" s="1615"/>
      <c r="Y852" s="1615"/>
      <c r="Z852" s="1615"/>
      <c r="AA852" s="1615"/>
      <c r="AB852" s="1615"/>
      <c r="AC852" s="161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5">
        <v>65000</v>
      </c>
      <c r="X853" s="1615"/>
      <c r="Y853" s="1615"/>
      <c r="Z853" s="1615"/>
      <c r="AA853" s="1615"/>
      <c r="AB853" s="1615"/>
      <c r="AC853" s="161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5">
        <v>62800</v>
      </c>
      <c r="X854" s="1615"/>
      <c r="Y854" s="1615"/>
      <c r="Z854" s="1615"/>
      <c r="AA854" s="1615"/>
      <c r="AB854" s="1615"/>
      <c r="AC854" s="16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4">
        <f>SUM(W851:AC854)</f>
        <v>127800</v>
      </c>
      <c r="X855" s="1654"/>
      <c r="Y855" s="1654"/>
      <c r="Z855" s="1654"/>
      <c r="AA855" s="1654"/>
      <c r="AB855" s="1654"/>
      <c r="AC855" s="16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26">
        <v>60000</v>
      </c>
      <c r="X857" s="1627"/>
      <c r="Y857" s="1627"/>
      <c r="Z857" s="1627"/>
      <c r="AA857" s="1627"/>
      <c r="AB857" s="1627"/>
      <c r="AC857" s="162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29">
        <v>4</v>
      </c>
      <c r="U858" s="1580"/>
      <c r="V858" s="163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6">
        <v>58000</v>
      </c>
      <c r="X859" s="1627"/>
      <c r="Y859" s="1627"/>
      <c r="Z859" s="1627"/>
      <c r="AA859" s="1627"/>
      <c r="AB859" s="1627"/>
      <c r="AC859" s="162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29">
        <v>2</v>
      </c>
      <c r="U860" s="1580"/>
      <c r="V860" s="163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2720</v>
      </c>
      <c r="N861" s="1619"/>
      <c r="O861" s="1619"/>
      <c r="P861" s="1619"/>
      <c r="Q861" s="1619"/>
      <c r="R861" s="1619"/>
      <c r="S861" s="1619"/>
      <c r="T861" s="1619"/>
      <c r="U861" s="1619"/>
      <c r="V861" s="1620"/>
      <c r="W861" s="1626">
        <v>48000</v>
      </c>
      <c r="X861" s="1627"/>
      <c r="Y861" s="1627"/>
      <c r="Z861" s="1627"/>
      <c r="AA861" s="1627"/>
      <c r="AB861" s="1627"/>
      <c r="AC861" s="162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55">
        <f>SUM(W857:AC861)</f>
        <v>166000</v>
      </c>
      <c r="X862" s="1656"/>
      <c r="Y862" s="1656"/>
      <c r="Z862" s="1656"/>
      <c r="AA862" s="1656"/>
      <c r="AB862" s="1656"/>
      <c r="AC862" s="165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6">
        <v>112000</v>
      </c>
      <c r="X863" s="1627"/>
      <c r="Y863" s="1627"/>
      <c r="Z863" s="1627"/>
      <c r="AA863" s="1627"/>
      <c r="AB863" s="1627"/>
      <c r="AC863" s="162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4">
        <v>37260</v>
      </c>
      <c r="X865" s="1614"/>
      <c r="Y865" s="1614"/>
      <c r="Z865" s="1614"/>
      <c r="AA865" s="1614"/>
      <c r="AB865" s="1614"/>
      <c r="AC865" s="16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4">
        <v>37260</v>
      </c>
      <c r="X866" s="1614"/>
      <c r="Y866" s="1614"/>
      <c r="Z866" s="1614"/>
      <c r="AA866" s="1614"/>
      <c r="AB866" s="1614"/>
      <c r="AC866" s="16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4">
        <v>45000</v>
      </c>
      <c r="X867" s="1614"/>
      <c r="Y867" s="1614"/>
      <c r="Z867" s="1614"/>
      <c r="AA867" s="1614"/>
      <c r="AB867" s="1614"/>
      <c r="AC867" s="16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4">
        <v>10000</v>
      </c>
      <c r="X868" s="1614"/>
      <c r="Y868" s="1614"/>
      <c r="Z868" s="1614"/>
      <c r="AA868" s="1614"/>
      <c r="AB868" s="1614"/>
      <c r="AC868" s="16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4">
        <v>25000</v>
      </c>
      <c r="X869" s="1614"/>
      <c r="Y869" s="1614"/>
      <c r="Z869" s="1614"/>
      <c r="AA869" s="1614"/>
      <c r="AB869" s="1614"/>
      <c r="AC869" s="16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4">
        <v>18000</v>
      </c>
      <c r="X870" s="1614"/>
      <c r="Y870" s="1614"/>
      <c r="Z870" s="1614"/>
      <c r="AA870" s="1614"/>
      <c r="AB870" s="1614"/>
      <c r="AC870" s="16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2721</v>
      </c>
      <c r="N871" s="1619"/>
      <c r="O871" s="1619"/>
      <c r="P871" s="1619"/>
      <c r="Q871" s="1619"/>
      <c r="R871" s="1619"/>
      <c r="S871" s="1619"/>
      <c r="T871" s="1619"/>
      <c r="U871" s="1619"/>
      <c r="V871" s="1620"/>
      <c r="W871" s="1614">
        <v>9010</v>
      </c>
      <c r="X871" s="1614"/>
      <c r="Y871" s="1614"/>
      <c r="Z871" s="1614"/>
      <c r="AA871" s="1614"/>
      <c r="AB871" s="1614"/>
      <c r="AC871" s="161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5">
        <f>SUM(W865:AC871)</f>
        <v>181530</v>
      </c>
      <c r="X872" s="1595"/>
      <c r="Y872" s="1595"/>
      <c r="Z872" s="1595"/>
      <c r="AA872" s="1595"/>
      <c r="AB872" s="1595"/>
      <c r="AC872" s="159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618" t="s">
        <v>2717</v>
      </c>
      <c r="N874" s="1619"/>
      <c r="O874" s="1619"/>
      <c r="P874" s="1619"/>
      <c r="Q874" s="1619"/>
      <c r="R874" s="1619"/>
      <c r="S874" s="1619"/>
      <c r="T874" s="1619"/>
      <c r="U874" s="1619"/>
      <c r="V874" s="1620"/>
      <c r="W874" s="1571">
        <v>65000</v>
      </c>
      <c r="X874" s="1572"/>
      <c r="Y874" s="1572"/>
      <c r="Z874" s="1572"/>
      <c r="AA874" s="1572"/>
      <c r="AB874" s="1572"/>
      <c r="AC874" s="157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618" t="s">
        <v>2718</v>
      </c>
      <c r="N875" s="1619"/>
      <c r="O875" s="1619"/>
      <c r="P875" s="1619"/>
      <c r="Q875" s="1619"/>
      <c r="R875" s="1619"/>
      <c r="S875" s="1619"/>
      <c r="T875" s="1619"/>
      <c r="U875" s="1619"/>
      <c r="V875" s="1620"/>
      <c r="W875" s="1571">
        <v>32000</v>
      </c>
      <c r="X875" s="1572"/>
      <c r="Y875" s="1572"/>
      <c r="Z875" s="1572"/>
      <c r="AA875" s="1572"/>
      <c r="AB875" s="1572"/>
      <c r="AC875" s="157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t="s">
        <v>2719</v>
      </c>
      <c r="N876" s="1619"/>
      <c r="O876" s="1619"/>
      <c r="P876" s="1619"/>
      <c r="Q876" s="1619"/>
      <c r="R876" s="1619"/>
      <c r="S876" s="1619"/>
      <c r="T876" s="1619"/>
      <c r="U876" s="1619"/>
      <c r="V876" s="1620"/>
      <c r="W876" s="1571">
        <v>800</v>
      </c>
      <c r="X876" s="1572"/>
      <c r="Y876" s="1572"/>
      <c r="Z876" s="1572"/>
      <c r="AA876" s="1572"/>
      <c r="AB876" s="1572"/>
      <c r="AC876" s="157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t="s">
        <v>334</v>
      </c>
      <c r="N877" s="1619"/>
      <c r="O877" s="1619"/>
      <c r="P877" s="1619"/>
      <c r="Q877" s="1619"/>
      <c r="R877" s="1619"/>
      <c r="S877" s="1619"/>
      <c r="T877" s="1619"/>
      <c r="U877" s="1619"/>
      <c r="V877" s="1620"/>
      <c r="W877" s="1571"/>
      <c r="X877" s="1572"/>
      <c r="Y877" s="1572"/>
      <c r="Z877" s="1572"/>
      <c r="AA877" s="1572"/>
      <c r="AB877" s="1572"/>
      <c r="AC877" s="157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t="s">
        <v>334</v>
      </c>
      <c r="N878" s="1619"/>
      <c r="O878" s="1619"/>
      <c r="P878" s="1619"/>
      <c r="Q878" s="1619"/>
      <c r="R878" s="1619"/>
      <c r="S878" s="1619"/>
      <c r="T878" s="1619"/>
      <c r="U878" s="1619"/>
      <c r="V878" s="1620"/>
      <c r="W878" s="1571"/>
      <c r="X878" s="1572"/>
      <c r="Y878" s="1572"/>
      <c r="Z878" s="1572"/>
      <c r="AA878" s="1572"/>
      <c r="AB878" s="1572"/>
      <c r="AC878" s="157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2">
        <f>SUM(W874:AC878)</f>
        <v>97800</v>
      </c>
      <c r="X879" s="1583"/>
      <c r="Y879" s="1583"/>
      <c r="Z879" s="1583"/>
      <c r="AA879" s="1583"/>
      <c r="AB879" s="1583"/>
      <c r="AC879" s="158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3">
        <f>W847+W855+W862+W863+W872+W879+W849</f>
        <v>868632.13500000001</v>
      </c>
      <c r="AD883" s="1583"/>
      <c r="AE883" s="1583"/>
      <c r="AF883" s="1583"/>
      <c r="AG883" s="1583"/>
      <c r="AH883" s="158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869">
        <f>O797+O777+G753</f>
        <v>160</v>
      </c>
      <c r="AD884" s="1869"/>
      <c r="AE884" s="1869"/>
      <c r="AF884" s="1869"/>
      <c r="AG884" s="1869"/>
      <c r="AH884" s="187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3" t="s">
        <v>32</v>
      </c>
      <c r="F885" s="1643"/>
      <c r="G885" s="1643"/>
      <c r="H885" s="1643"/>
      <c r="I885" s="1643"/>
      <c r="J885" s="1643"/>
      <c r="K885" s="1643"/>
      <c r="L885" s="1643"/>
      <c r="M885" s="1643"/>
      <c r="N885" s="1643"/>
      <c r="O885" s="1643"/>
      <c r="P885" s="1643"/>
      <c r="Q885" s="1643"/>
      <c r="R885" s="1643"/>
      <c r="S885" s="1643"/>
      <c r="T885" s="1643"/>
      <c r="U885" s="1643"/>
      <c r="V885" s="1643"/>
      <c r="W885" s="1643"/>
      <c r="X885" s="1643"/>
      <c r="Y885" s="1643"/>
      <c r="Z885" s="1643"/>
      <c r="AA885" s="1643"/>
      <c r="AB885" s="1644"/>
      <c r="AC885" s="1595">
        <f>IF(ISERROR((ROUNDDOWN(AC883/AC884,0))),0,(ROUNDDOWN(AC883/AC884,0)))</f>
        <v>5428</v>
      </c>
      <c r="AD885" s="1595"/>
      <c r="AE885" s="1595"/>
      <c r="AF885" s="1595"/>
      <c r="AG885" s="1595"/>
      <c r="AH885" s="159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1">
        <v>565001.65853260877</v>
      </c>
      <c r="AD886" s="1622"/>
      <c r="AE886" s="1622"/>
      <c r="AF886" s="1622"/>
      <c r="AG886" s="1622"/>
      <c r="AH886" s="162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73"/>
      <c r="AD887" s="1614"/>
      <c r="AE887" s="1614"/>
      <c r="AF887" s="1614"/>
      <c r="AG887" s="1614"/>
      <c r="AH887" s="16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2">
        <v>28200</v>
      </c>
      <c r="AD888" s="1572"/>
      <c r="AE888" s="1572"/>
      <c r="AF888" s="1572"/>
      <c r="AG888" s="1572"/>
      <c r="AH888" s="157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2">
        <v>40000</v>
      </c>
      <c r="AD889" s="1572"/>
      <c r="AE889" s="1572"/>
      <c r="AF889" s="1572"/>
      <c r="AG889" s="1572"/>
      <c r="AH889" s="157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1861</v>
      </c>
      <c r="AC890" s="1439"/>
      <c r="AD890" s="1440"/>
      <c r="AE890" s="1440"/>
      <c r="AF890" s="1440"/>
      <c r="AG890" s="1440"/>
      <c r="AH890" s="144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2">
        <v>10533.06</v>
      </c>
      <c r="AD891" s="1572"/>
      <c r="AE891" s="1572"/>
      <c r="AF891" s="1572"/>
      <c r="AG891" s="1572"/>
      <c r="AH891" s="157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2"/>
      <c r="AD892" s="1572"/>
      <c r="AE892" s="1572"/>
      <c r="AF892" s="1572"/>
      <c r="AG892" s="1572"/>
      <c r="AH892" s="157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16" t="s">
        <v>2722</v>
      </c>
      <c r="D893" s="1717"/>
      <c r="E893" s="1717"/>
      <c r="F893" s="1717"/>
      <c r="G893" s="1717"/>
      <c r="H893" s="1717"/>
      <c r="I893" s="1717"/>
      <c r="J893" s="1717"/>
      <c r="K893" s="1717"/>
      <c r="L893" s="1717"/>
      <c r="M893" s="1717"/>
      <c r="N893" s="1717"/>
      <c r="O893" s="1717"/>
      <c r="P893" s="1717"/>
      <c r="Q893" s="1717"/>
      <c r="R893" s="1717"/>
      <c r="S893" s="1717"/>
      <c r="T893" s="1717"/>
      <c r="U893" s="1717"/>
      <c r="V893" s="1717"/>
      <c r="W893" s="1717"/>
      <c r="X893" s="1717"/>
      <c r="Y893" s="1717"/>
      <c r="Z893" s="1717"/>
      <c r="AA893" s="1717"/>
      <c r="AB893" s="1718"/>
      <c r="AC893" s="1614">
        <v>11115</v>
      </c>
      <c r="AD893" s="1614"/>
      <c r="AE893" s="1614"/>
      <c r="AF893" s="1614"/>
      <c r="AG893" s="1614"/>
      <c r="AH893" s="16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16" t="s">
        <v>973</v>
      </c>
      <c r="D894" s="1717"/>
      <c r="E894" s="1717"/>
      <c r="F894" s="1717"/>
      <c r="G894" s="1717"/>
      <c r="H894" s="1717"/>
      <c r="I894" s="1717"/>
      <c r="J894" s="1717"/>
      <c r="K894" s="1717"/>
      <c r="L894" s="1717"/>
      <c r="M894" s="1717"/>
      <c r="N894" s="1717"/>
      <c r="O894" s="1717"/>
      <c r="P894" s="1717"/>
      <c r="Q894" s="1717"/>
      <c r="R894" s="1717"/>
      <c r="S894" s="1717"/>
      <c r="T894" s="1717"/>
      <c r="U894" s="1717"/>
      <c r="V894" s="1717"/>
      <c r="W894" s="1717"/>
      <c r="X894" s="1717"/>
      <c r="Y894" s="1717"/>
      <c r="Z894" s="1717"/>
      <c r="AA894" s="1717"/>
      <c r="AB894" s="1718"/>
      <c r="AC894" s="1614"/>
      <c r="AD894" s="1614"/>
      <c r="AE894" s="1614"/>
      <c r="AF894" s="1614"/>
      <c r="AG894" s="1614"/>
      <c r="AH894" s="16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1"/>
      <c r="AA898" s="1572"/>
      <c r="AB898" s="1572"/>
      <c r="AC898" s="1572"/>
      <c r="AD898" s="1572"/>
      <c r="AE898" s="1573"/>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1"/>
      <c r="AA899" s="1572"/>
      <c r="AB899" s="1572"/>
      <c r="AC899" s="1572"/>
      <c r="AD899" s="1572"/>
      <c r="AE899" s="1573"/>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1"/>
      <c r="AA900" s="1572"/>
      <c r="AB900" s="1572"/>
      <c r="AC900" s="1572"/>
      <c r="AD900" s="1572"/>
      <c r="AE900" s="157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2">
        <f>Z898-(Z899+Z900)</f>
        <v>0</v>
      </c>
      <c r="AA901" s="1583"/>
      <c r="AB901" s="1583"/>
      <c r="AC901" s="1583"/>
      <c r="AD901" s="1583"/>
      <c r="AE901" s="1584"/>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3" t="s">
        <v>96</v>
      </c>
      <c r="B909" s="1663"/>
      <c r="C909" s="1663"/>
      <c r="D909" s="1663"/>
      <c r="E909" s="1663"/>
      <c r="F909" s="1663"/>
      <c r="G909" s="1663"/>
      <c r="H909" s="1663"/>
      <c r="I909" s="1663"/>
      <c r="J909" s="1663"/>
      <c r="K909" s="1663"/>
      <c r="L909" s="1663"/>
      <c r="M909" s="1663"/>
      <c r="N909" s="1663"/>
      <c r="O909" s="1663"/>
      <c r="P909" s="1663"/>
      <c r="Q909" s="1663"/>
      <c r="R909" s="1663"/>
      <c r="S909" s="1663"/>
      <c r="T909" s="1663"/>
      <c r="U909" s="1663"/>
      <c r="V909" s="1663"/>
      <c r="W909" s="1663"/>
      <c r="X909" s="1663"/>
      <c r="Y909" s="1663"/>
      <c r="Z909" s="1663"/>
      <c r="AA909" s="1663"/>
      <c r="AB909" s="1663"/>
      <c r="AC909" s="1663"/>
      <c r="AD909" s="1663"/>
      <c r="AE909" s="1663"/>
      <c r="AF909" s="1663"/>
      <c r="AG909" s="1663"/>
      <c r="AH909" s="1663"/>
      <c r="AI909" s="1663"/>
      <c r="AJ909" s="1663"/>
      <c r="AK909" s="1663"/>
      <c r="AL909" s="1663"/>
      <c r="AM909" s="1663"/>
      <c r="AN909" s="1663"/>
      <c r="AO909" s="1663"/>
      <c r="AP909" s="1663"/>
      <c r="AQ909" s="1663"/>
      <c r="AR909" s="1663"/>
      <c r="AS909" s="1663"/>
      <c r="AT909" s="1663"/>
      <c r="AZ909" s="34"/>
      <c r="BA909" s="34"/>
      <c r="BB909" s="30"/>
      <c r="BC909" s="30"/>
      <c r="BD909" s="1616"/>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3"/>
      <c r="B910" s="1663"/>
      <c r="C910" s="1663"/>
      <c r="D910" s="1663"/>
      <c r="E910" s="1663"/>
      <c r="F910" s="1663"/>
      <c r="G910" s="1663"/>
      <c r="H910" s="1663"/>
      <c r="I910" s="1663"/>
      <c r="J910" s="1663"/>
      <c r="K910" s="1663"/>
      <c r="L910" s="1663"/>
      <c r="M910" s="1663"/>
      <c r="N910" s="1663"/>
      <c r="O910" s="1663"/>
      <c r="P910" s="1663"/>
      <c r="Q910" s="1663"/>
      <c r="R910" s="1663"/>
      <c r="S910" s="1663"/>
      <c r="T910" s="1663"/>
      <c r="U910" s="1663"/>
      <c r="V910" s="1663"/>
      <c r="W910" s="1663"/>
      <c r="X910" s="1663"/>
      <c r="Y910" s="1663"/>
      <c r="Z910" s="1663"/>
      <c r="AA910" s="1663"/>
      <c r="AB910" s="1663"/>
      <c r="AC910" s="1663"/>
      <c r="AD910" s="1663"/>
      <c r="AE910" s="1663"/>
      <c r="AF910" s="1663"/>
      <c r="AG910" s="1663"/>
      <c r="AH910" s="1663"/>
      <c r="AI910" s="1663"/>
      <c r="AJ910" s="1663"/>
      <c r="AK910" s="1663"/>
      <c r="AL910" s="1663"/>
      <c r="AM910" s="1663"/>
      <c r="AN910" s="1663"/>
      <c r="AO910" s="1663"/>
      <c r="AP910" s="1663"/>
      <c r="AQ910" s="1663"/>
      <c r="AR910" s="1663"/>
      <c r="AS910" s="1663"/>
      <c r="AT910" s="16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01" t="s">
        <v>801</v>
      </c>
      <c r="G914" s="1802"/>
      <c r="H914" s="1802"/>
      <c r="I914" s="1802"/>
      <c r="J914" s="1802"/>
      <c r="K914" s="1802"/>
      <c r="L914" s="1802"/>
      <c r="M914" s="1802"/>
      <c r="N914" s="1802"/>
      <c r="O914" s="1802"/>
      <c r="P914" s="1802"/>
      <c r="Q914" s="1802"/>
      <c r="R914" s="1802"/>
      <c r="S914" s="1802"/>
      <c r="T914" s="1803"/>
      <c r="U914" s="1744" t="s">
        <v>31</v>
      </c>
      <c r="V914" s="1600"/>
      <c r="W914" s="1600"/>
      <c r="X914" s="1600"/>
      <c r="Y914" s="1600"/>
      <c r="Z914" s="160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12" t="s">
        <v>827</v>
      </c>
      <c r="G915" s="1713"/>
      <c r="H915" s="1713"/>
      <c r="I915" s="1713"/>
      <c r="J915" s="1713"/>
      <c r="K915" s="1713"/>
      <c r="L915" s="1713"/>
      <c r="M915" s="1713"/>
      <c r="N915" s="1713"/>
      <c r="O915" s="1713"/>
      <c r="P915" s="1713"/>
      <c r="Q915" s="1713"/>
      <c r="R915" s="1713"/>
      <c r="S915" s="1713"/>
      <c r="T915" s="1714"/>
      <c r="U915" s="1712"/>
      <c r="V915" s="1713"/>
      <c r="W915" s="1713"/>
      <c r="X915" s="1713"/>
      <c r="Y915" s="1713"/>
      <c r="Z915" s="171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15"/>
      <c r="G916" s="1602"/>
      <c r="H916" s="1602"/>
      <c r="I916" s="1602"/>
      <c r="J916" s="1602"/>
      <c r="K916" s="1602"/>
      <c r="L916" s="1602"/>
      <c r="M916" s="1602"/>
      <c r="N916" s="1602"/>
      <c r="O916" s="1602"/>
      <c r="P916" s="1602"/>
      <c r="Q916" s="1602"/>
      <c r="R916" s="1602"/>
      <c r="S916" s="1602"/>
      <c r="T916" s="1603"/>
      <c r="U916" s="1715"/>
      <c r="V916" s="1602"/>
      <c r="W916" s="1602"/>
      <c r="X916" s="1602"/>
      <c r="Y916" s="1602"/>
      <c r="Z916" s="1602"/>
      <c r="AA916" s="108"/>
      <c r="AB916" s="1398" t="s">
        <v>391</v>
      </c>
      <c r="AC916" s="1398"/>
      <c r="AD916" s="1398"/>
      <c r="AE916" s="139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3" t="s">
        <v>553</v>
      </c>
      <c r="V917" s="1392"/>
      <c r="W917" s="1392"/>
      <c r="X917" s="1392"/>
      <c r="Y917" s="1392"/>
      <c r="Z917" s="1393"/>
      <c r="AA917" s="1634">
        <v>45500000</v>
      </c>
      <c r="AB917" s="1481"/>
      <c r="AC917" s="1481"/>
      <c r="AD917" s="1481"/>
      <c r="AE917" s="1481"/>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3" t="s">
        <v>553</v>
      </c>
      <c r="V918" s="1392"/>
      <c r="W918" s="1392"/>
      <c r="X918" s="1392"/>
      <c r="Y918" s="1392"/>
      <c r="Z918" s="1393"/>
      <c r="AA918" s="1634"/>
      <c r="AB918" s="1481"/>
      <c r="AC918" s="1481"/>
      <c r="AD918" s="1481"/>
      <c r="AE918" s="1481"/>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3" t="s">
        <v>599</v>
      </c>
      <c r="V919" s="1392"/>
      <c r="W919" s="1392"/>
      <c r="X919" s="1392"/>
      <c r="Y919" s="1392"/>
      <c r="Z919" s="1393"/>
      <c r="AA919" s="1634"/>
      <c r="AB919" s="1481"/>
      <c r="AC919" s="1481"/>
      <c r="AD919" s="1481"/>
      <c r="AE919" s="1481"/>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3" t="s">
        <v>599</v>
      </c>
      <c r="V920" s="1392"/>
      <c r="W920" s="1392"/>
      <c r="X920" s="1392"/>
      <c r="Y920" s="1392"/>
      <c r="Z920" s="1393"/>
      <c r="AA920" s="1634"/>
      <c r="AB920" s="1481"/>
      <c r="AC920" s="1481"/>
      <c r="AD920" s="1481"/>
      <c r="AE920" s="1481"/>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3" t="s">
        <v>599</v>
      </c>
      <c r="V921" s="1392"/>
      <c r="W921" s="1392"/>
      <c r="X921" s="1392"/>
      <c r="Y921" s="1392"/>
      <c r="Z921" s="1393"/>
      <c r="AA921" s="1634"/>
      <c r="AB921" s="1481"/>
      <c r="AC921" s="1481"/>
      <c r="AD921" s="1481"/>
      <c r="AE921" s="1481"/>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3" t="s">
        <v>599</v>
      </c>
      <c r="V922" s="1392"/>
      <c r="W922" s="1392"/>
      <c r="X922" s="1392"/>
      <c r="Y922" s="1392"/>
      <c r="Z922" s="1393"/>
      <c r="AA922" s="1634"/>
      <c r="AB922" s="1481"/>
      <c r="AC922" s="1481"/>
      <c r="AD922" s="1481"/>
      <c r="AE922" s="1481"/>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3" t="s">
        <v>599</v>
      </c>
      <c r="V923" s="1392"/>
      <c r="W923" s="1392"/>
      <c r="X923" s="1392"/>
      <c r="Y923" s="1392"/>
      <c r="Z923" s="1393"/>
      <c r="AA923" s="1634"/>
      <c r="AB923" s="1481"/>
      <c r="AC923" s="1481"/>
      <c r="AD923" s="1481"/>
      <c r="AE923" s="1481"/>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3" t="s">
        <v>599</v>
      </c>
      <c r="V924" s="1392"/>
      <c r="W924" s="1392"/>
      <c r="X924" s="1392"/>
      <c r="Y924" s="1392"/>
      <c r="Z924" s="1393"/>
      <c r="AA924" s="1634"/>
      <c r="AB924" s="1481"/>
      <c r="AC924" s="1481"/>
      <c r="AD924" s="1481"/>
      <c r="AE924" s="1481"/>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6" t="s">
        <v>2546</v>
      </c>
      <c r="G925" s="1637"/>
      <c r="H925" s="1637"/>
      <c r="I925" s="1637"/>
      <c r="J925" s="1637"/>
      <c r="K925" s="1637"/>
      <c r="L925" s="1637"/>
      <c r="M925" s="1637"/>
      <c r="N925" s="1637"/>
      <c r="O925" s="1637"/>
      <c r="P925" s="1637"/>
      <c r="Q925" s="1637"/>
      <c r="R925" s="1637"/>
      <c r="S925" s="1637"/>
      <c r="T925" s="1638"/>
      <c r="U925" s="1633" t="s">
        <v>599</v>
      </c>
      <c r="V925" s="1392"/>
      <c r="W925" s="1392"/>
      <c r="X925" s="1392"/>
      <c r="Y925" s="1392"/>
      <c r="Z925" s="1393"/>
      <c r="AA925" s="1634"/>
      <c r="AB925" s="1481"/>
      <c r="AC925" s="1481"/>
      <c r="AD925" s="1481"/>
      <c r="AE925" s="1481"/>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6" t="s">
        <v>687</v>
      </c>
      <c r="G926" s="1637"/>
      <c r="H926" s="1637"/>
      <c r="I926" s="1637"/>
      <c r="J926" s="1637"/>
      <c r="K926" s="1637"/>
      <c r="L926" s="1637"/>
      <c r="M926" s="1637"/>
      <c r="N926" s="1637"/>
      <c r="O926" s="1637"/>
      <c r="P926" s="1637"/>
      <c r="Q926" s="1637"/>
      <c r="R926" s="1637"/>
      <c r="S926" s="1637"/>
      <c r="T926" s="1638"/>
      <c r="U926" s="1633" t="s">
        <v>599</v>
      </c>
      <c r="V926" s="1392"/>
      <c r="W926" s="1392"/>
      <c r="X926" s="1392"/>
      <c r="Y926" s="1392"/>
      <c r="Z926" s="1393"/>
      <c r="AA926" s="1634"/>
      <c r="AB926" s="1481"/>
      <c r="AC926" s="1481"/>
      <c r="AD926" s="1481"/>
      <c r="AE926" s="1481"/>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6" t="s">
        <v>2547</v>
      </c>
      <c r="G927" s="1637"/>
      <c r="H927" s="1637"/>
      <c r="I927" s="1637"/>
      <c r="J927" s="1637"/>
      <c r="K927" s="1637"/>
      <c r="L927" s="1637"/>
      <c r="M927" s="1637"/>
      <c r="N927" s="1637"/>
      <c r="O927" s="1637"/>
      <c r="P927" s="1637"/>
      <c r="Q927" s="1637"/>
      <c r="R927" s="1637"/>
      <c r="S927" s="1637"/>
      <c r="T927" s="1638"/>
      <c r="U927" s="1633" t="s">
        <v>599</v>
      </c>
      <c r="V927" s="1392"/>
      <c r="W927" s="1392"/>
      <c r="X927" s="1392"/>
      <c r="Y927" s="1392"/>
      <c r="Z927" s="1393"/>
      <c r="AA927" s="1634"/>
      <c r="AB927" s="1481"/>
      <c r="AC927" s="1481"/>
      <c r="AD927" s="1481"/>
      <c r="AE927" s="1481"/>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6" t="s">
        <v>2548</v>
      </c>
      <c r="G928" s="1637"/>
      <c r="H928" s="1637"/>
      <c r="I928" s="1637"/>
      <c r="J928" s="1637"/>
      <c r="K928" s="1637"/>
      <c r="L928" s="1637"/>
      <c r="M928" s="1637"/>
      <c r="N928" s="1637"/>
      <c r="O928" s="1637"/>
      <c r="P928" s="1637"/>
      <c r="Q928" s="1637"/>
      <c r="R928" s="1637"/>
      <c r="S928" s="1637"/>
      <c r="T928" s="1638"/>
      <c r="U928" s="1633" t="s">
        <v>599</v>
      </c>
      <c r="V928" s="1392"/>
      <c r="W928" s="1392"/>
      <c r="X928" s="1392"/>
      <c r="Y928" s="1392"/>
      <c r="Z928" s="1393"/>
      <c r="AA928" s="1634"/>
      <c r="AB928" s="1481"/>
      <c r="AC928" s="1481"/>
      <c r="AD928" s="1481"/>
      <c r="AE928" s="1481"/>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6" t="s">
        <v>2549</v>
      </c>
      <c r="G929" s="1637"/>
      <c r="H929" s="1637"/>
      <c r="I929" s="1637"/>
      <c r="J929" s="1637"/>
      <c r="K929" s="1637"/>
      <c r="L929" s="1637"/>
      <c r="M929" s="1637"/>
      <c r="N929" s="1637"/>
      <c r="O929" s="1637"/>
      <c r="P929" s="1637"/>
      <c r="Q929" s="1637"/>
      <c r="R929" s="1637"/>
      <c r="S929" s="1637"/>
      <c r="T929" s="1638"/>
      <c r="U929" s="1633" t="s">
        <v>599</v>
      </c>
      <c r="V929" s="1392"/>
      <c r="W929" s="1392"/>
      <c r="X929" s="1392"/>
      <c r="Y929" s="1392"/>
      <c r="Z929" s="1393"/>
      <c r="AA929" s="1634"/>
      <c r="AB929" s="1481"/>
      <c r="AC929" s="1481"/>
      <c r="AD929" s="1481"/>
      <c r="AE929" s="1481"/>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6" t="s">
        <v>2550</v>
      </c>
      <c r="G930" s="1637"/>
      <c r="H930" s="1637"/>
      <c r="I930" s="1637"/>
      <c r="J930" s="1637"/>
      <c r="K930" s="1637"/>
      <c r="L930" s="1637"/>
      <c r="M930" s="1637"/>
      <c r="N930" s="1637"/>
      <c r="O930" s="1637"/>
      <c r="P930" s="1637"/>
      <c r="Q930" s="1637"/>
      <c r="R930" s="1637"/>
      <c r="S930" s="1637"/>
      <c r="T930" s="1638"/>
      <c r="U930" s="1633" t="s">
        <v>599</v>
      </c>
      <c r="V930" s="1392"/>
      <c r="W930" s="1392"/>
      <c r="X930" s="1392"/>
      <c r="Y930" s="1392"/>
      <c r="Z930" s="1393"/>
      <c r="AA930" s="1634"/>
      <c r="AB930" s="1481"/>
      <c r="AC930" s="1481"/>
      <c r="AD930" s="1481"/>
      <c r="AE930" s="1481"/>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6" t="s">
        <v>2551</v>
      </c>
      <c r="G931" s="1637"/>
      <c r="H931" s="1637"/>
      <c r="I931" s="1637"/>
      <c r="J931" s="1637"/>
      <c r="K931" s="1637"/>
      <c r="L931" s="1637"/>
      <c r="M931" s="1637"/>
      <c r="N931" s="1637"/>
      <c r="O931" s="1637"/>
      <c r="P931" s="1637"/>
      <c r="Q931" s="1637"/>
      <c r="R931" s="1637"/>
      <c r="S931" s="1637"/>
      <c r="T931" s="1638"/>
      <c r="U931" s="1633" t="s">
        <v>599</v>
      </c>
      <c r="V931" s="1392"/>
      <c r="W931" s="1392"/>
      <c r="X931" s="1392"/>
      <c r="Y931" s="1392"/>
      <c r="Z931" s="1393"/>
      <c r="AA931" s="1634"/>
      <c r="AB931" s="1481"/>
      <c r="AC931" s="1481"/>
      <c r="AD931" s="1481"/>
      <c r="AE931" s="1481"/>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3" t="s">
        <v>599</v>
      </c>
      <c r="V932" s="1392"/>
      <c r="W932" s="1392"/>
      <c r="X932" s="1392"/>
      <c r="Y932" s="1392"/>
      <c r="Z932" s="1393"/>
      <c r="AA932" s="1634"/>
      <c r="AB932" s="1481"/>
      <c r="AC932" s="1481"/>
      <c r="AD932" s="1481"/>
      <c r="AE932" s="1481"/>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3" t="s">
        <v>553</v>
      </c>
      <c r="V933" s="1392"/>
      <c r="W933" s="1392"/>
      <c r="X933" s="1392"/>
      <c r="Y933" s="1392"/>
      <c r="Z933" s="1393"/>
      <c r="AA933" s="1634">
        <v>4000000</v>
      </c>
      <c r="AB933" s="1481"/>
      <c r="AC933" s="1481"/>
      <c r="AD933" s="1481"/>
      <c r="AE933" s="1481"/>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3" t="s">
        <v>599</v>
      </c>
      <c r="V934" s="1392"/>
      <c r="W934" s="1392"/>
      <c r="X934" s="1392"/>
      <c r="Y934" s="1392"/>
      <c r="Z934" s="1393"/>
      <c r="AA934" s="1634"/>
      <c r="AB934" s="1481"/>
      <c r="AC934" s="1481"/>
      <c r="AD934" s="1481"/>
      <c r="AE934" s="1481"/>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9" t="s">
        <v>2555</v>
      </c>
      <c r="G935" s="1640"/>
      <c r="H935" s="1640"/>
      <c r="I935" s="1640"/>
      <c r="J935" s="1640"/>
      <c r="K935" s="1640"/>
      <c r="L935" s="1640"/>
      <c r="M935" s="1640"/>
      <c r="N935" s="1640"/>
      <c r="O935" s="1640"/>
      <c r="P935" s="1640"/>
      <c r="Q935" s="1640"/>
      <c r="R935" s="1640"/>
      <c r="S935" s="1640"/>
      <c r="T935" s="1641"/>
      <c r="U935" s="1633" t="s">
        <v>599</v>
      </c>
      <c r="V935" s="1392"/>
      <c r="W935" s="1392"/>
      <c r="X935" s="1392"/>
      <c r="Y935" s="1392"/>
      <c r="Z935" s="1393"/>
      <c r="AA935" s="1634"/>
      <c r="AB935" s="1481"/>
      <c r="AC935" s="1481"/>
      <c r="AD935" s="1481"/>
      <c r="AE935" s="1481"/>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9" t="s">
        <v>2556</v>
      </c>
      <c r="G936" s="1640"/>
      <c r="H936" s="1640"/>
      <c r="I936" s="1640"/>
      <c r="J936" s="1640"/>
      <c r="K936" s="1640"/>
      <c r="L936" s="1640"/>
      <c r="M936" s="1640"/>
      <c r="N936" s="1640"/>
      <c r="O936" s="1640"/>
      <c r="P936" s="1640"/>
      <c r="Q936" s="1640"/>
      <c r="R936" s="1640"/>
      <c r="S936" s="1640"/>
      <c r="T936" s="1641"/>
      <c r="U936" s="1633" t="s">
        <v>599</v>
      </c>
      <c r="V936" s="1392"/>
      <c r="W936" s="1392"/>
      <c r="X936" s="1392"/>
      <c r="Y936" s="1392"/>
      <c r="Z936" s="1393"/>
      <c r="AA936" s="1634"/>
      <c r="AB936" s="1481"/>
      <c r="AC936" s="1481"/>
      <c r="AD936" s="1481"/>
      <c r="AE936" s="1481"/>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6" t="s">
        <v>2552</v>
      </c>
      <c r="G937" s="1637"/>
      <c r="H937" s="1637"/>
      <c r="I937" s="1637"/>
      <c r="J937" s="1637"/>
      <c r="K937" s="1637"/>
      <c r="L937" s="1637"/>
      <c r="M937" s="1637"/>
      <c r="N937" s="1637"/>
      <c r="O937" s="1637"/>
      <c r="P937" s="1637"/>
      <c r="Q937" s="1637"/>
      <c r="R937" s="1637"/>
      <c r="S937" s="1637"/>
      <c r="T937" s="1638"/>
      <c r="U937" s="1633" t="s">
        <v>599</v>
      </c>
      <c r="V937" s="1392"/>
      <c r="W937" s="1392"/>
      <c r="X937" s="1392"/>
      <c r="Y937" s="1392"/>
      <c r="Z937" s="1393"/>
      <c r="AA937" s="1634"/>
      <c r="AB937" s="1481"/>
      <c r="AC937" s="1481"/>
      <c r="AD937" s="1481"/>
      <c r="AE937" s="1481"/>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6" t="s">
        <v>2553</v>
      </c>
      <c r="G938" s="1637"/>
      <c r="H938" s="1637"/>
      <c r="I938" s="1637"/>
      <c r="J938" s="1637"/>
      <c r="K938" s="1637"/>
      <c r="L938" s="1637"/>
      <c r="M938" s="1637"/>
      <c r="N938" s="1637"/>
      <c r="O938" s="1637"/>
      <c r="P938" s="1637"/>
      <c r="Q938" s="1637"/>
      <c r="R938" s="1637"/>
      <c r="S938" s="1637"/>
      <c r="T938" s="1638"/>
      <c r="U938" s="1633" t="s">
        <v>599</v>
      </c>
      <c r="V938" s="1392"/>
      <c r="W938" s="1392"/>
      <c r="X938" s="1392"/>
      <c r="Y938" s="1392"/>
      <c r="Z938" s="1393"/>
      <c r="AA938" s="1195"/>
      <c r="AB938" s="1194"/>
      <c r="AC938" s="1194"/>
      <c r="AD938" s="1194"/>
      <c r="AE938" s="1194"/>
      <c r="AF938" s="119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6" t="s">
        <v>2554</v>
      </c>
      <c r="G939" s="1637"/>
      <c r="H939" s="1637"/>
      <c r="I939" s="1637"/>
      <c r="J939" s="1637"/>
      <c r="K939" s="1637"/>
      <c r="L939" s="1637"/>
      <c r="M939" s="1637"/>
      <c r="N939" s="1637"/>
      <c r="O939" s="1637"/>
      <c r="P939" s="1637"/>
      <c r="Q939" s="1637"/>
      <c r="R939" s="1637"/>
      <c r="S939" s="1637"/>
      <c r="T939" s="1638"/>
      <c r="U939" s="1633" t="s">
        <v>599</v>
      </c>
      <c r="V939" s="1392"/>
      <c r="W939" s="1392"/>
      <c r="X939" s="1392"/>
      <c r="Y939" s="1392"/>
      <c r="Z939" s="1393"/>
      <c r="AA939" s="1195"/>
      <c r="AB939" s="1194"/>
      <c r="AC939" s="1194"/>
      <c r="AD939" s="1194"/>
      <c r="AE939" s="1194"/>
      <c r="AF939" s="119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3" t="s">
        <v>599</v>
      </c>
      <c r="V940" s="1392"/>
      <c r="W940" s="1392"/>
      <c r="X940" s="1392"/>
      <c r="Y940" s="1392"/>
      <c r="Z940" s="1393"/>
      <c r="AA940" s="1634"/>
      <c r="AB940" s="1481"/>
      <c r="AC940" s="1481"/>
      <c r="AD940" s="1481"/>
      <c r="AE940" s="1481"/>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9" t="s">
        <v>2557</v>
      </c>
      <c r="G941" s="1640"/>
      <c r="H941" s="1640"/>
      <c r="I941" s="1640"/>
      <c r="J941" s="1640"/>
      <c r="K941" s="1640"/>
      <c r="L941" s="1640"/>
      <c r="M941" s="1640"/>
      <c r="N941" s="1640"/>
      <c r="O941" s="1640"/>
      <c r="P941" s="1640"/>
      <c r="Q941" s="1640"/>
      <c r="R941" s="1640"/>
      <c r="S941" s="1640"/>
      <c r="T941" s="1641"/>
      <c r="U941" s="1633" t="s">
        <v>599</v>
      </c>
      <c r="V941" s="1392"/>
      <c r="W941" s="1392"/>
      <c r="X941" s="1392"/>
      <c r="Y941" s="1392"/>
      <c r="Z941" s="1393"/>
      <c r="AA941" s="1634"/>
      <c r="AB941" s="1481"/>
      <c r="AC941" s="1481"/>
      <c r="AD941" s="1481"/>
      <c r="AE941" s="1481"/>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3" t="s">
        <v>599</v>
      </c>
      <c r="V942" s="1392"/>
      <c r="W942" s="1392"/>
      <c r="X942" s="1392"/>
      <c r="Y942" s="1392"/>
      <c r="Z942" s="1393"/>
      <c r="AA942" s="1634"/>
      <c r="AB942" s="1481"/>
      <c r="AC942" s="1481"/>
      <c r="AD942" s="1481"/>
      <c r="AE942" s="1481"/>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9" t="s">
        <v>2558</v>
      </c>
      <c r="G943" s="1640"/>
      <c r="H943" s="1640"/>
      <c r="I943" s="1640"/>
      <c r="J943" s="1640"/>
      <c r="K943" s="1640"/>
      <c r="L943" s="1640"/>
      <c r="M943" s="1640"/>
      <c r="N943" s="1640"/>
      <c r="O943" s="1640"/>
      <c r="P943" s="1640"/>
      <c r="Q943" s="1640"/>
      <c r="R943" s="1640"/>
      <c r="S943" s="1640"/>
      <c r="T943" s="1641"/>
      <c r="U943" s="1633" t="s">
        <v>599</v>
      </c>
      <c r="V943" s="1392"/>
      <c r="W943" s="1392"/>
      <c r="X943" s="1392"/>
      <c r="Y943" s="1392"/>
      <c r="Z943" s="1393"/>
      <c r="AA943" s="1634"/>
      <c r="AB943" s="1481"/>
      <c r="AC943" s="1481"/>
      <c r="AD943" s="1481"/>
      <c r="AE943" s="1481"/>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3" t="s">
        <v>677</v>
      </c>
      <c r="Q944" s="1392"/>
      <c r="R944" s="1392"/>
      <c r="S944" s="1392"/>
      <c r="T944" s="1393"/>
      <c r="U944" s="1633" t="s">
        <v>599</v>
      </c>
      <c r="V944" s="1392"/>
      <c r="W944" s="1392"/>
      <c r="X944" s="1392"/>
      <c r="Y944" s="1392"/>
      <c r="Z944" s="1393"/>
      <c r="AA944" s="1634"/>
      <c r="AB944" s="1481"/>
      <c r="AC944" s="1481"/>
      <c r="AD944" s="1481"/>
      <c r="AE944" s="1481"/>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6" t="s">
        <v>2545</v>
      </c>
      <c r="G945" s="1637"/>
      <c r="H945" s="1638"/>
      <c r="I945" s="1618" t="s">
        <v>334</v>
      </c>
      <c r="J945" s="1619"/>
      <c r="K945" s="1619"/>
      <c r="L945" s="1619"/>
      <c r="M945" s="1619"/>
      <c r="N945" s="1619"/>
      <c r="O945" s="1619"/>
      <c r="P945" s="1619"/>
      <c r="Q945" s="1619"/>
      <c r="R945" s="1619"/>
      <c r="S945" s="1619"/>
      <c r="T945" s="1620"/>
      <c r="U945" s="1633" t="s">
        <v>599</v>
      </c>
      <c r="V945" s="1392"/>
      <c r="W945" s="1392"/>
      <c r="X945" s="1392"/>
      <c r="Y945" s="1392"/>
      <c r="Z945" s="1393"/>
      <c r="AA945" s="1634"/>
      <c r="AB945" s="1481"/>
      <c r="AC945" s="1481"/>
      <c r="AD945" s="1481"/>
      <c r="AE945" s="1481"/>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334</v>
      </c>
      <c r="J946" s="1619"/>
      <c r="K946" s="1619"/>
      <c r="L946" s="1619"/>
      <c r="M946" s="1619"/>
      <c r="N946" s="1619"/>
      <c r="O946" s="1619"/>
      <c r="P946" s="1619"/>
      <c r="Q946" s="1619"/>
      <c r="R946" s="1619"/>
      <c r="S946" s="1619"/>
      <c r="T946" s="1620"/>
      <c r="U946" s="1633" t="s">
        <v>599</v>
      </c>
      <c r="V946" s="1392"/>
      <c r="W946" s="1392"/>
      <c r="X946" s="1392"/>
      <c r="Y946" s="1392"/>
      <c r="Z946" s="1393"/>
      <c r="AA946" s="1634"/>
      <c r="AB946" s="1481"/>
      <c r="AC946" s="1481"/>
      <c r="AD946" s="1481"/>
      <c r="AE946" s="1481"/>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1" t="s">
        <v>334</v>
      </c>
      <c r="J947" s="1652"/>
      <c r="K947" s="1652"/>
      <c r="L947" s="1652"/>
      <c r="M947" s="1652"/>
      <c r="N947" s="1652"/>
      <c r="O947" s="1652"/>
      <c r="P947" s="1652"/>
      <c r="Q947" s="1652"/>
      <c r="R947" s="1652"/>
      <c r="S947" s="1652"/>
      <c r="T947" s="1653"/>
      <c r="U947" s="1633" t="s">
        <v>599</v>
      </c>
      <c r="V947" s="1392"/>
      <c r="W947" s="1392"/>
      <c r="X947" s="1392"/>
      <c r="Y947" s="1392"/>
      <c r="Z947" s="1393"/>
      <c r="AA947" s="1634"/>
      <c r="AB947" s="1481"/>
      <c r="AC947" s="1481"/>
      <c r="AD947" s="1481"/>
      <c r="AE947" s="1481"/>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1" t="s">
        <v>334</v>
      </c>
      <c r="J948" s="1652"/>
      <c r="K948" s="1652"/>
      <c r="L948" s="1652"/>
      <c r="M948" s="1652"/>
      <c r="N948" s="1652"/>
      <c r="O948" s="1652"/>
      <c r="P948" s="1652"/>
      <c r="Q948" s="1652"/>
      <c r="R948" s="1652"/>
      <c r="S948" s="1652"/>
      <c r="T948" s="1653"/>
      <c r="U948" s="1633" t="s">
        <v>599</v>
      </c>
      <c r="V948" s="1392"/>
      <c r="W948" s="1392"/>
      <c r="X948" s="1392"/>
      <c r="Y948" s="1392"/>
      <c r="Z948" s="1393"/>
      <c r="AA948" s="1634"/>
      <c r="AB948" s="1481"/>
      <c r="AC948" s="1481"/>
      <c r="AD948" s="1481"/>
      <c r="AE948" s="1481"/>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1" t="s">
        <v>334</v>
      </c>
      <c r="J949" s="1652"/>
      <c r="K949" s="1652"/>
      <c r="L949" s="1652"/>
      <c r="M949" s="1652"/>
      <c r="N949" s="1652"/>
      <c r="O949" s="1652"/>
      <c r="P949" s="1652"/>
      <c r="Q949" s="1652"/>
      <c r="R949" s="1652"/>
      <c r="S949" s="1652"/>
      <c r="T949" s="1653"/>
      <c r="U949" s="1633" t="s">
        <v>599</v>
      </c>
      <c r="V949" s="1392"/>
      <c r="W949" s="1392"/>
      <c r="X949" s="1392"/>
      <c r="Y949" s="1392"/>
      <c r="Z949" s="1393"/>
      <c r="AA949" s="1634"/>
      <c r="AB949" s="1481"/>
      <c r="AC949" s="1481"/>
      <c r="AD949" s="1481"/>
      <c r="AE949" s="1481"/>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0"/>
      <c r="N954" s="1624"/>
      <c r="O954" s="1624"/>
      <c r="P954" s="1624"/>
      <c r="Q954" s="1624"/>
      <c r="R954" s="1624"/>
      <c r="S954" s="1625"/>
      <c r="U954" s="66" t="s">
        <v>11</v>
      </c>
      <c r="V954" s="5"/>
      <c r="W954" s="5"/>
      <c r="X954" s="5"/>
      <c r="Y954" s="5"/>
      <c r="Z954" s="5"/>
      <c r="AA954" s="5"/>
      <c r="AB954" s="5"/>
      <c r="AC954" s="5"/>
      <c r="AD954" s="46"/>
      <c r="AE954" s="1650"/>
      <c r="AF954" s="1624"/>
      <c r="AG954" s="1624"/>
      <c r="AH954" s="1624"/>
      <c r="AI954" s="1624"/>
      <c r="AJ954" s="1624"/>
      <c r="AK954" s="16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8"/>
      <c r="N955" s="1503"/>
      <c r="O955" s="1503"/>
      <c r="P955" s="1503"/>
      <c r="Q955" s="1503"/>
      <c r="R955" s="1503"/>
      <c r="S955" s="1659"/>
      <c r="U955" s="66" t="s">
        <v>12</v>
      </c>
      <c r="V955" s="5"/>
      <c r="W955" s="5"/>
      <c r="X955" s="5"/>
      <c r="Y955" s="5"/>
      <c r="Z955" s="5"/>
      <c r="AA955" s="5"/>
      <c r="AB955" s="5"/>
      <c r="AC955" s="5"/>
      <c r="AD955" s="46"/>
      <c r="AE955" s="1658"/>
      <c r="AF955" s="1503"/>
      <c r="AG955" s="1503"/>
      <c r="AH955" s="1503"/>
      <c r="AI955" s="1503"/>
      <c r="AJ955" s="1503"/>
      <c r="AK955" s="165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60" t="s">
        <v>307</v>
      </c>
      <c r="K956" s="1661"/>
      <c r="L956" s="1661"/>
      <c r="M956" s="1661"/>
      <c r="N956" s="1661"/>
      <c r="O956" s="1661"/>
      <c r="P956" s="1661"/>
      <c r="Q956" s="1661"/>
      <c r="R956" s="1661"/>
      <c r="S956" s="1662"/>
      <c r="U956" s="66" t="s">
        <v>890</v>
      </c>
      <c r="V956" s="5"/>
      <c r="W956" s="5"/>
      <c r="AB956" s="1660" t="s">
        <v>307</v>
      </c>
      <c r="AC956" s="1661"/>
      <c r="AD956" s="1661"/>
      <c r="AE956" s="1661"/>
      <c r="AF956" s="1661"/>
      <c r="AG956" s="1661"/>
      <c r="AH956" s="1661"/>
      <c r="AI956" s="1661"/>
      <c r="AJ956" s="1661"/>
      <c r="AK956" s="166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10"/>
      <c r="N957" s="1665"/>
      <c r="O957" s="1665"/>
      <c r="P957" s="1665"/>
      <c r="Q957" s="1665"/>
      <c r="R957" s="1665"/>
      <c r="S957" s="1666"/>
      <c r="U957" s="66" t="s">
        <v>13</v>
      </c>
      <c r="V957" s="5"/>
      <c r="W957" s="5"/>
      <c r="X957" s="5"/>
      <c r="Y957" s="5"/>
      <c r="Z957" s="5"/>
      <c r="AA957" s="5"/>
      <c r="AB957" s="5"/>
      <c r="AC957" s="5"/>
      <c r="AD957" s="46"/>
      <c r="AE957" s="1664"/>
      <c r="AF957" s="1665"/>
      <c r="AG957" s="1665"/>
      <c r="AH957" s="1665"/>
      <c r="AI957" s="1665"/>
      <c r="AJ957" s="1665"/>
      <c r="AK957" s="166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68"/>
      <c r="N958" s="1611"/>
      <c r="O958" s="1611"/>
      <c r="P958" s="1611"/>
      <c r="Q958" s="1611"/>
      <c r="R958" s="1611"/>
      <c r="S958" s="1612"/>
      <c r="U958" s="66" t="s">
        <v>14</v>
      </c>
      <c r="V958" s="5"/>
      <c r="W958" s="5"/>
      <c r="X958" s="5"/>
      <c r="Y958" s="5"/>
      <c r="Z958" s="5"/>
      <c r="AA958" s="5"/>
      <c r="AB958" s="5"/>
      <c r="AC958" s="5"/>
      <c r="AD958" s="46"/>
      <c r="AE958" s="1668"/>
      <c r="AF958" s="1611"/>
      <c r="AG958" s="1611"/>
      <c r="AH958" s="1611"/>
      <c r="AI958" s="1611"/>
      <c r="AJ958" s="1611"/>
      <c r="AK958" s="161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481"/>
      <c r="O959" s="1481"/>
      <c r="P959" s="1481"/>
      <c r="Q959" s="1481"/>
      <c r="R959" s="1481"/>
      <c r="S959" s="1635"/>
      <c r="U959" s="66" t="s">
        <v>15</v>
      </c>
      <c r="V959" s="5"/>
      <c r="W959" s="5"/>
      <c r="X959" s="5"/>
      <c r="Y959" s="5"/>
      <c r="Z959" s="5"/>
      <c r="AA959" s="5"/>
      <c r="AB959" s="5"/>
      <c r="AC959" s="5"/>
      <c r="AD959" s="46"/>
      <c r="AE959" s="1634"/>
      <c r="AF959" s="1481"/>
      <c r="AG959" s="1481"/>
      <c r="AH959" s="1481"/>
      <c r="AI959" s="1481"/>
      <c r="AJ959" s="1481"/>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481"/>
      <c r="O960" s="1481"/>
      <c r="P960" s="1481"/>
      <c r="Q960" s="1481"/>
      <c r="R960" s="1481"/>
      <c r="S960" s="1635"/>
      <c r="U960" s="66" t="s">
        <v>16</v>
      </c>
      <c r="V960" s="5"/>
      <c r="W960" s="5"/>
      <c r="X960" s="5"/>
      <c r="Y960" s="5"/>
      <c r="Z960" s="5"/>
      <c r="AA960" s="5"/>
      <c r="AB960" s="5"/>
      <c r="AC960" s="5"/>
      <c r="AD960" s="46"/>
      <c r="AE960" s="1634"/>
      <c r="AF960" s="1481"/>
      <c r="AG960" s="1481"/>
      <c r="AH960" s="1481"/>
      <c r="AI960" s="1481"/>
      <c r="AJ960" s="1481"/>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09"/>
      <c r="N961" s="1710"/>
      <c r="O961" s="1710"/>
      <c r="P961" s="1710"/>
      <c r="Q961" s="1710"/>
      <c r="R961" s="1710"/>
      <c r="S961" s="1711"/>
      <c r="U961" s="121" t="s">
        <v>1773</v>
      </c>
      <c r="V961" s="5"/>
      <c r="W961" s="5"/>
      <c r="X961" s="5"/>
      <c r="Y961" s="5"/>
      <c r="Z961" s="5"/>
      <c r="AA961" s="5"/>
      <c r="AB961" s="5"/>
      <c r="AC961" s="5"/>
      <c r="AD961" s="46"/>
      <c r="AE961" s="1709"/>
      <c r="AF961" s="1710"/>
      <c r="AG961" s="1710"/>
      <c r="AH961" s="1710"/>
      <c r="AI961" s="1710"/>
      <c r="AJ961" s="1710"/>
      <c r="AK961" s="171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7"/>
      <c r="N966" s="1648"/>
      <c r="O966" s="1648"/>
      <c r="P966" s="1648"/>
      <c r="Q966" s="1648"/>
      <c r="R966" s="1648"/>
      <c r="S966" s="1649"/>
      <c r="T966" s="66" t="s">
        <v>799</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7"/>
      <c r="N967" s="1648"/>
      <c r="O967" s="1648"/>
      <c r="P967" s="1648"/>
      <c r="Q967" s="1648"/>
      <c r="R967" s="1648"/>
      <c r="S967" s="1649"/>
      <c r="T967" s="66" t="s">
        <v>798</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751" t="s">
        <v>599</v>
      </c>
      <c r="N968" s="1752"/>
      <c r="O968" s="1752"/>
      <c r="P968" s="1752"/>
      <c r="Q968" s="1752"/>
      <c r="R968" s="1752"/>
      <c r="S968" s="1753"/>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72" t="s">
        <v>307</v>
      </c>
      <c r="N971" s="1673"/>
      <c r="O971" s="1673"/>
      <c r="P971" s="1673"/>
      <c r="Q971" s="1673"/>
      <c r="R971" s="1673"/>
      <c r="S971" s="1674"/>
      <c r="T971" s="1748"/>
      <c r="U971" s="1749"/>
      <c r="V971" s="1749"/>
      <c r="W971" s="1749"/>
      <c r="X971" s="1749"/>
      <c r="Y971" s="1749"/>
      <c r="Z971" s="1750"/>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7"/>
      <c r="N972" s="1648"/>
      <c r="O972" s="1648"/>
      <c r="P972" s="1648"/>
      <c r="Q972" s="1648"/>
      <c r="R972" s="1648"/>
      <c r="S972" s="1649"/>
      <c r="T972" s="1748"/>
      <c r="U972" s="1749"/>
      <c r="V972" s="1749"/>
      <c r="W972" s="1749"/>
      <c r="X972" s="1749"/>
      <c r="Y972" s="1749"/>
      <c r="Z972" s="1750"/>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2" t="s">
        <v>677</v>
      </c>
      <c r="P973" s="1453"/>
      <c r="Q973" s="92"/>
      <c r="R973" s="92"/>
      <c r="S973" s="93"/>
      <c r="T973" s="41" t="s">
        <v>169</v>
      </c>
      <c r="U973" s="42"/>
      <c r="V973" s="42"/>
      <c r="W973" s="1669" t="s">
        <v>334</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9" t="s">
        <v>33</v>
      </c>
      <c r="G974" s="1371"/>
      <c r="H974" s="1371"/>
      <c r="I974" s="1371"/>
      <c r="J974" s="1371"/>
      <c r="K974" s="1371"/>
      <c r="L974" s="1371"/>
      <c r="M974" s="1647"/>
      <c r="N974" s="1648"/>
      <c r="O974" s="1648"/>
      <c r="P974" s="1648"/>
      <c r="Q974" s="1648"/>
      <c r="R974" s="1648"/>
      <c r="S974" s="1649"/>
      <c r="T974" s="47"/>
      <c r="U974" s="48"/>
      <c r="V974" s="48"/>
      <c r="W974" s="48"/>
      <c r="X974" s="48"/>
      <c r="Y974" s="48"/>
      <c r="Z974" s="124" t="s">
        <v>134</v>
      </c>
      <c r="AA974" s="1745"/>
      <c r="AB974" s="1746"/>
      <c r="AC974" s="1746"/>
      <c r="AD974" s="1746"/>
      <c r="AE974" s="1746"/>
      <c r="AF974" s="1746"/>
      <c r="AG974" s="174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3" t="s">
        <v>556</v>
      </c>
      <c r="B978" s="1663"/>
      <c r="C978" s="1663"/>
      <c r="D978" s="1663"/>
      <c r="E978" s="1663"/>
      <c r="F978" s="1663"/>
      <c r="G978" s="1663"/>
      <c r="H978" s="1663"/>
      <c r="I978" s="1663"/>
      <c r="J978" s="1663"/>
      <c r="K978" s="1663"/>
      <c r="L978" s="1663"/>
      <c r="M978" s="1663"/>
      <c r="N978" s="1663"/>
      <c r="O978" s="1663"/>
      <c r="P978" s="1663"/>
      <c r="Q978" s="1663"/>
      <c r="R978" s="1663"/>
      <c r="S978" s="1663"/>
      <c r="T978" s="1663"/>
      <c r="U978" s="1663"/>
      <c r="V978" s="1663"/>
      <c r="W978" s="1663"/>
      <c r="X978" s="1663"/>
      <c r="Y978" s="1663"/>
      <c r="Z978" s="1663"/>
      <c r="AA978" s="1663"/>
      <c r="AB978" s="1663"/>
      <c r="AC978" s="1663"/>
      <c r="AD978" s="1663"/>
      <c r="AE978" s="1663"/>
      <c r="AF978" s="1663"/>
      <c r="AG978" s="1663"/>
      <c r="AH978" s="1663"/>
      <c r="AI978" s="1663"/>
      <c r="AJ978" s="1663"/>
      <c r="AK978" s="1663"/>
      <c r="AL978" s="1663"/>
      <c r="AM978" s="1663"/>
      <c r="AN978" s="1663"/>
      <c r="AO978" s="1663"/>
      <c r="AP978" s="1663"/>
      <c r="AQ978" s="1663"/>
      <c r="AR978" s="1663"/>
      <c r="AS978" s="1663"/>
      <c r="AT978" s="16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3"/>
      <c r="B979" s="1663"/>
      <c r="C979" s="1663"/>
      <c r="D979" s="1663"/>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3"/>
      <c r="AF979" s="1663"/>
      <c r="AG979" s="1663"/>
      <c r="AH979" s="1663"/>
      <c r="AI979" s="1663"/>
      <c r="AJ979" s="1663"/>
      <c r="AK979" s="1663"/>
      <c r="AL979" s="1663"/>
      <c r="AM979" s="1663"/>
      <c r="AN979" s="1663"/>
      <c r="AO979" s="1663"/>
      <c r="AP979" s="1663"/>
      <c r="AQ979" s="1663"/>
      <c r="AR979" s="1663"/>
      <c r="AS979" s="1663"/>
      <c r="AT979" s="16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3"/>
      <c r="B980" s="1663"/>
      <c r="C980" s="1663"/>
      <c r="D980" s="1663"/>
      <c r="E980" s="1663"/>
      <c r="F980" s="1663"/>
      <c r="G980" s="1663"/>
      <c r="H980" s="1663"/>
      <c r="I980" s="1663"/>
      <c r="J980" s="1663"/>
      <c r="K980" s="1663"/>
      <c r="L980" s="1663"/>
      <c r="M980" s="1663"/>
      <c r="N980" s="1663"/>
      <c r="O980" s="1663"/>
      <c r="P980" s="1663"/>
      <c r="Q980" s="1663"/>
      <c r="R980" s="1663"/>
      <c r="S980" s="1663"/>
      <c r="T980" s="1663"/>
      <c r="U980" s="1663"/>
      <c r="V980" s="1663"/>
      <c r="W980" s="1663"/>
      <c r="X980" s="1663"/>
      <c r="Y980" s="1663"/>
      <c r="Z980" s="1663"/>
      <c r="AA980" s="1663"/>
      <c r="AB980" s="1663"/>
      <c r="AC980" s="1663"/>
      <c r="AD980" s="1663"/>
      <c r="AE980" s="1663"/>
      <c r="AF980" s="1663"/>
      <c r="AG980" s="1663"/>
      <c r="AH980" s="1663"/>
      <c r="AI980" s="1663"/>
      <c r="AJ980" s="1663"/>
      <c r="AK980" s="1663"/>
      <c r="AL980" s="1663"/>
      <c r="AM980" s="1663"/>
      <c r="AN980" s="1663"/>
      <c r="AO980" s="1663"/>
      <c r="AP980" s="1663"/>
      <c r="AQ980" s="1663"/>
      <c r="AR980" s="1663"/>
      <c r="AS980" s="1663"/>
      <c r="AT980" s="16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1" t="s">
        <v>646</v>
      </c>
      <c r="E984" s="1812"/>
      <c r="F984" s="1812"/>
      <c r="G984" s="1812"/>
      <c r="H984" s="1812"/>
      <c r="I984" s="1812"/>
      <c r="J984" s="1812"/>
      <c r="K984" s="1812"/>
      <c r="L984" s="1812"/>
      <c r="M984" s="1812"/>
      <c r="N984" s="1812"/>
      <c r="O984" s="1812"/>
      <c r="P984" s="1812"/>
      <c r="Q984" s="1813"/>
      <c r="R984" s="1811" t="s">
        <v>647</v>
      </c>
      <c r="S984" s="1812"/>
      <c r="T984" s="1812"/>
      <c r="U984" s="1812"/>
      <c r="V984" s="1812"/>
      <c r="W984" s="1812"/>
      <c r="X984" s="1812"/>
      <c r="Y984" s="1812"/>
      <c r="Z984" s="1812"/>
      <c r="AA984" s="1813"/>
      <c r="AB984" s="1811" t="s">
        <v>648</v>
      </c>
      <c r="AC984" s="1812"/>
      <c r="AD984" s="1812"/>
      <c r="AE984" s="1812"/>
      <c r="AF984" s="1812"/>
      <c r="AG984" s="1812"/>
      <c r="AH984" s="1812"/>
      <c r="AI984" s="1813"/>
      <c r="AJ984" s="1811" t="s">
        <v>649</v>
      </c>
      <c r="AK984" s="1812"/>
      <c r="AL984" s="1812"/>
      <c r="AM984" s="1812"/>
      <c r="AN984" s="1812"/>
      <c r="AO984" s="1812"/>
      <c r="AP984" s="1812"/>
      <c r="AQ984" s="181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06" t="s">
        <v>641</v>
      </c>
      <c r="E985" s="1507"/>
      <c r="F985" s="1507"/>
      <c r="G985" s="1507"/>
      <c r="H985" s="1507"/>
      <c r="I985" s="1507"/>
      <c r="J985" s="1507"/>
      <c r="K985" s="1507"/>
      <c r="L985" s="1507"/>
      <c r="M985" s="1507"/>
      <c r="N985" s="1507"/>
      <c r="O985" s="1507"/>
      <c r="P985" s="1507"/>
      <c r="Q985" s="1508"/>
      <c r="R985" s="1667">
        <f>IF(ISNA(IF($BN$796="4%",(INDEX($BP$806:$BT$863,MATCH($CB$796,$BO$806:$BO$863,0),MATCH(D985,$BP$805:$BT$805,0))),(INDEX($BW$806:$CA$863,MATCH($CB$796,$BV$806:$BV$863,0),MATCH(D985,$BW$805:$CA$805,0))))),0,IF($BN$796="4%",(INDEX($BP$806:$BT$863,MATCH($CB$796,$BO$806:$BO$863,0),MATCH(D985,$BP$805:$BT$805,0))),(INDEX($BW$806:$CA$863,MATCH($CB$796,$BV$806:$BV$863,0),MATCH(D985,$BW$805:$CA$805,0)))))</f>
        <v>437727</v>
      </c>
      <c r="S985" s="1667"/>
      <c r="T985" s="1667"/>
      <c r="U985" s="1667"/>
      <c r="V985" s="1667"/>
      <c r="W985" s="1667"/>
      <c r="X985" s="1667"/>
      <c r="Y985" s="1667"/>
      <c r="Z985" s="1667"/>
      <c r="AA985" s="1667"/>
      <c r="AB985" s="1757">
        <f>BN660</f>
        <v>0</v>
      </c>
      <c r="AC985" s="1758"/>
      <c r="AD985" s="1758"/>
      <c r="AE985" s="1758"/>
      <c r="AF985" s="1758"/>
      <c r="AG985" s="1758"/>
      <c r="AH985" s="1758"/>
      <c r="AI985" s="1759"/>
      <c r="AJ985" s="1706">
        <f>IF(ISERROR((R985*AB985)),0,(R985*AB985))</f>
        <v>0</v>
      </c>
      <c r="AK985" s="1707"/>
      <c r="AL985" s="1707"/>
      <c r="AM985" s="1707"/>
      <c r="AN985" s="1707"/>
      <c r="AO985" s="1707"/>
      <c r="AP985" s="1707"/>
      <c r="AQ985" s="170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06" t="s">
        <v>325</v>
      </c>
      <c r="E986" s="1507"/>
      <c r="F986" s="1507"/>
      <c r="G986" s="1507"/>
      <c r="H986" s="1507"/>
      <c r="I986" s="1507"/>
      <c r="J986" s="1507"/>
      <c r="K986" s="1507"/>
      <c r="L986" s="1507"/>
      <c r="M986" s="1507"/>
      <c r="N986" s="1507"/>
      <c r="O986" s="1507"/>
      <c r="P986" s="1507"/>
      <c r="Q986" s="1508"/>
      <c r="R986" s="1667">
        <f>IF(ISNA(IF($BN$796="4%",(INDEX($BP$806:$BT$863,MATCH($CB$796,$BO$806:$BO$863,0),MATCH(D986,$BP$805:$BT$805,0))),(INDEX($BW$806:$CA$863,MATCH($CB$796,$BV$806:$BV$863,0),MATCH(D986,$BW$805:$CA$805,0))))),0,IF($BN$796="4%",(INDEX($BP$806:$BT$863,MATCH($CB$796,$BO$806:$BO$863,0),MATCH(D986,$BP$805:$BT$805,0))),(INDEX($BW$806:$CA$863,MATCH($CB$796,$BV$806:$BV$863,0),MATCH(D986,$BW$805:$CA$805,0)))))</f>
        <v>504695</v>
      </c>
      <c r="S986" s="1667"/>
      <c r="T986" s="1667"/>
      <c r="U986" s="1667"/>
      <c r="V986" s="1667"/>
      <c r="W986" s="1667"/>
      <c r="X986" s="1667"/>
      <c r="Y986" s="1667"/>
      <c r="Z986" s="1667"/>
      <c r="AA986" s="1667"/>
      <c r="AB986" s="1757">
        <f>BS660</f>
        <v>76</v>
      </c>
      <c r="AC986" s="1758"/>
      <c r="AD986" s="1758"/>
      <c r="AE986" s="1758"/>
      <c r="AF986" s="1758"/>
      <c r="AG986" s="1758"/>
      <c r="AH986" s="1758"/>
      <c r="AI986" s="1759"/>
      <c r="AJ986" s="1706">
        <f>IF(ISERROR((R986*AB986)),0,(R986*AB986))</f>
        <v>38356820</v>
      </c>
      <c r="AK986" s="1707"/>
      <c r="AL986" s="1707"/>
      <c r="AM986" s="1707"/>
      <c r="AN986" s="1707"/>
      <c r="AO986" s="1707"/>
      <c r="AP986" s="1707"/>
      <c r="AQ986" s="170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06" t="s">
        <v>163</v>
      </c>
      <c r="E987" s="1507"/>
      <c r="F987" s="1507"/>
      <c r="G987" s="1507"/>
      <c r="H987" s="1507"/>
      <c r="I987" s="1507"/>
      <c r="J987" s="1507"/>
      <c r="K987" s="1507"/>
      <c r="L987" s="1507"/>
      <c r="M987" s="1507"/>
      <c r="N987" s="1507"/>
      <c r="O987" s="1507"/>
      <c r="P987" s="1507"/>
      <c r="Q987" s="1508"/>
      <c r="R987" s="1667">
        <f>IF(ISNA(IF($BN$796="4%",(INDEX($BP$806:$BT$863,MATCH($CB$796,$BO$806:$BO$863,0),MATCH(D987,$BP$805:$BT$805,0))),(INDEX($BW$806:$CA$863,MATCH($CB$796,$BV$806:$BV$863,0),MATCH(D987,$BW$805:$CA$805,0))))),0,IF($BN$796="4%",(INDEX($BP$806:$BT$863,MATCH($CB$796,$BO$806:$BO$863,0),MATCH(D987,$BP$805:$BT$805,0))),(INDEX($BW$806:$CA$863,MATCH($CB$796,$BV$806:$BV$863,0),MATCH(D987,$BW$805:$CA$805,0)))))</f>
        <v>608800</v>
      </c>
      <c r="S987" s="1667"/>
      <c r="T987" s="1667"/>
      <c r="U987" s="1667"/>
      <c r="V987" s="1667"/>
      <c r="W987" s="1667"/>
      <c r="X987" s="1667"/>
      <c r="Y987" s="1667"/>
      <c r="Z987" s="1667"/>
      <c r="AA987" s="1667"/>
      <c r="AB987" s="1757">
        <f>BX660</f>
        <v>44</v>
      </c>
      <c r="AC987" s="1758"/>
      <c r="AD987" s="1758"/>
      <c r="AE987" s="1758"/>
      <c r="AF987" s="1758"/>
      <c r="AG987" s="1758"/>
      <c r="AH987" s="1758"/>
      <c r="AI987" s="1759"/>
      <c r="AJ987" s="1706">
        <f>IF(ISERROR((R987*AB987)),0,(R987*AB987))</f>
        <v>26787200</v>
      </c>
      <c r="AK987" s="1707"/>
      <c r="AL987" s="1707"/>
      <c r="AM987" s="1707"/>
      <c r="AN987" s="1707"/>
      <c r="AO987" s="1707"/>
      <c r="AP987" s="1707"/>
      <c r="AQ987" s="170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06" t="s">
        <v>164</v>
      </c>
      <c r="E988" s="1507"/>
      <c r="F988" s="1507"/>
      <c r="G988" s="1507"/>
      <c r="H988" s="1507"/>
      <c r="I988" s="1507"/>
      <c r="J988" s="1507"/>
      <c r="K988" s="1507"/>
      <c r="L988" s="1507"/>
      <c r="M988" s="1507"/>
      <c r="N988" s="1507"/>
      <c r="O988" s="1507"/>
      <c r="P988" s="1507"/>
      <c r="Q988" s="1508"/>
      <c r="R988" s="1667">
        <f>IF(ISNA(IF($BN$796="4%",(INDEX($BP$806:$BT$863,MATCH($CB$796,$BO$806:$BO$863,0),MATCH(D988,$BP$805:$BT$805,0))),(INDEX($BW$806:$CA$863,MATCH($CB$796,$BV$806:$BV$863,0),MATCH(D988,$BW$805:$CA$805,0))))),0,IF($BN$796="4%",(INDEX($BP$806:$BT$863,MATCH($CB$796,$BO$806:$BO$863,0),MATCH(D988,$BP$805:$BT$805,0))),(INDEX($BW$806:$CA$863,MATCH($CB$796,$BV$806:$BV$863,0),MATCH(D988,$BW$805:$CA$805,0)))))</f>
        <v>779264</v>
      </c>
      <c r="S988" s="1667"/>
      <c r="T988" s="1667"/>
      <c r="U988" s="1667"/>
      <c r="V988" s="1667"/>
      <c r="W988" s="1667"/>
      <c r="X988" s="1667"/>
      <c r="Y988" s="1667"/>
      <c r="Z988" s="1667"/>
      <c r="AA988" s="1667"/>
      <c r="AB988" s="1757">
        <f>CC660</f>
        <v>40</v>
      </c>
      <c r="AC988" s="1758"/>
      <c r="AD988" s="1758"/>
      <c r="AE988" s="1758"/>
      <c r="AF988" s="1758"/>
      <c r="AG988" s="1758"/>
      <c r="AH988" s="1758"/>
      <c r="AI988" s="1759"/>
      <c r="AJ988" s="1706">
        <f>IF(ISERROR((R988*AB988)),0,(R988*AB988))</f>
        <v>31170560</v>
      </c>
      <c r="AK988" s="1707"/>
      <c r="AL988" s="1707"/>
      <c r="AM988" s="1707"/>
      <c r="AN988" s="1707"/>
      <c r="AO988" s="1707"/>
      <c r="AP988" s="1707"/>
      <c r="AQ988" s="170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06" t="s">
        <v>468</v>
      </c>
      <c r="E989" s="1507"/>
      <c r="F989" s="1507"/>
      <c r="G989" s="1507"/>
      <c r="H989" s="1507"/>
      <c r="I989" s="1507"/>
      <c r="J989" s="1507"/>
      <c r="K989" s="1507"/>
      <c r="L989" s="1507"/>
      <c r="M989" s="1507"/>
      <c r="N989" s="1507"/>
      <c r="O989" s="1507"/>
      <c r="P989" s="1507"/>
      <c r="Q989" s="1508"/>
      <c r="R989" s="1667">
        <f>IF(ISNA(IF($BN$796="4%",(INDEX($BP$806:$BT$863,MATCH($CB$796,$BO$806:$BO$863,0),MATCH(D989,$BP$805:$BT$805,0))),(INDEX($BW$806:$CA$863,MATCH($CB$796,$BV$806:$BV$863,0),MATCH(D989,$BW$805:$CA$805,0))))),0,IF($BN$796="4%",(INDEX($BP$806:$BT$863,MATCH($CB$796,$BO$806:$BO$863,0),MATCH(D989,$BP$805:$BT$805,0))),(INDEX($BW$806:$CA$863,MATCH($CB$796,$BV$806:$BV$863,0),MATCH(D989,$BW$805:$CA$805,0)))))</f>
        <v>868149</v>
      </c>
      <c r="S989" s="1667"/>
      <c r="T989" s="1667"/>
      <c r="U989" s="1667"/>
      <c r="V989" s="1667"/>
      <c r="W989" s="1667"/>
      <c r="X989" s="1667"/>
      <c r="Y989" s="1667"/>
      <c r="Z989" s="1667"/>
      <c r="AA989" s="1667"/>
      <c r="AB989" s="1757">
        <f>CM660+CH660</f>
        <v>0</v>
      </c>
      <c r="AC989" s="1758"/>
      <c r="AD989" s="1758"/>
      <c r="AE989" s="1758"/>
      <c r="AF989" s="1758"/>
      <c r="AG989" s="1758"/>
      <c r="AH989" s="1758"/>
      <c r="AI989" s="1759"/>
      <c r="AJ989" s="1706">
        <f>IF(ISERROR((R989*AB989)),0,(R989*AB989))</f>
        <v>0</v>
      </c>
      <c r="AK989" s="1707"/>
      <c r="AL989" s="1707"/>
      <c r="AM989" s="1707"/>
      <c r="AN989" s="1707"/>
      <c r="AO989" s="1707"/>
      <c r="AP989" s="1707"/>
      <c r="AQ989" s="170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6" t="s">
        <v>800</v>
      </c>
      <c r="C990" s="1787"/>
      <c r="D990" s="1787"/>
      <c r="E990" s="1787"/>
      <c r="F990" s="1787"/>
      <c r="G990" s="1787"/>
      <c r="H990" s="1787"/>
      <c r="I990" s="1787"/>
      <c r="J990" s="1787"/>
      <c r="K990" s="1787"/>
      <c r="L990" s="1787"/>
      <c r="M990" s="1787"/>
      <c r="N990" s="1787"/>
      <c r="O990" s="1787"/>
      <c r="P990" s="1787"/>
      <c r="Q990" s="1787"/>
      <c r="R990" s="1787"/>
      <c r="S990" s="1787"/>
      <c r="T990" s="1787"/>
      <c r="U990" s="1787"/>
      <c r="V990" s="1787"/>
      <c r="W990" s="1787"/>
      <c r="X990" s="1787"/>
      <c r="Y990" s="1787"/>
      <c r="Z990" s="1787"/>
      <c r="AA990" s="1788"/>
      <c r="AB990" s="1757">
        <f>SUM(AB985:AI989)</f>
        <v>160</v>
      </c>
      <c r="AC990" s="1758"/>
      <c r="AD990" s="1758"/>
      <c r="AE990" s="1758"/>
      <c r="AF990" s="1758"/>
      <c r="AG990" s="1758"/>
      <c r="AH990" s="1758"/>
      <c r="AI990" s="1759"/>
      <c r="AJ990" s="1706"/>
      <c r="AK990" s="1707"/>
      <c r="AL990" s="1707"/>
      <c r="AM990" s="1707"/>
      <c r="AN990" s="1707"/>
      <c r="AO990" s="1707"/>
      <c r="AP990" s="1707"/>
      <c r="AQ990" s="170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57" t="s">
        <v>520</v>
      </c>
      <c r="C991" s="1858"/>
      <c r="D991" s="1858"/>
      <c r="E991" s="1858"/>
      <c r="F991" s="1858"/>
      <c r="G991" s="1858"/>
      <c r="H991" s="1858"/>
      <c r="I991" s="1858"/>
      <c r="J991" s="1858"/>
      <c r="K991" s="1858"/>
      <c r="L991" s="1858"/>
      <c r="M991" s="1858"/>
      <c r="N991" s="1858"/>
      <c r="O991" s="1858"/>
      <c r="P991" s="1858"/>
      <c r="Q991" s="1858"/>
      <c r="R991" s="1858"/>
      <c r="S991" s="1858"/>
      <c r="T991" s="1858"/>
      <c r="U991" s="1858"/>
      <c r="V991" s="1858"/>
      <c r="W991" s="1858"/>
      <c r="X991" s="1858"/>
      <c r="Y991" s="1858"/>
      <c r="Z991" s="1858"/>
      <c r="AA991" s="1858"/>
      <c r="AB991" s="1858"/>
      <c r="AC991" s="1858"/>
      <c r="AD991" s="1858"/>
      <c r="AE991" s="1858"/>
      <c r="AF991" s="1858"/>
      <c r="AG991" s="1858"/>
      <c r="AH991" s="1858"/>
      <c r="AI991" s="1859"/>
      <c r="AJ991" s="1706">
        <f>SUM(AJ985:AQ989)</f>
        <v>96314580</v>
      </c>
      <c r="AK991" s="1707"/>
      <c r="AL991" s="1707"/>
      <c r="AM991" s="1707"/>
      <c r="AN991" s="1707"/>
      <c r="AO991" s="1707"/>
      <c r="AP991" s="1707"/>
      <c r="AQ991" s="170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0"/>
      <c r="C992" s="1781"/>
      <c r="D992" s="1781"/>
      <c r="E992" s="1781"/>
      <c r="F992" s="1781"/>
      <c r="G992" s="1781"/>
      <c r="H992" s="1781"/>
      <c r="I992" s="1781"/>
      <c r="J992" s="1781"/>
      <c r="K992" s="1781"/>
      <c r="L992" s="1781"/>
      <c r="M992" s="1781"/>
      <c r="N992" s="1781"/>
      <c r="O992" s="1781"/>
      <c r="P992" s="1781"/>
      <c r="Q992" s="1781"/>
      <c r="R992" s="1781"/>
      <c r="S992" s="1781"/>
      <c r="T992" s="1781"/>
      <c r="U992" s="1781"/>
      <c r="V992" s="1781"/>
      <c r="W992" s="1781"/>
      <c r="X992" s="1781"/>
      <c r="Y992" s="1781"/>
      <c r="Z992" s="1781"/>
      <c r="AA992" s="1781"/>
      <c r="AB992" s="1781"/>
      <c r="AC992" s="1781"/>
      <c r="AD992" s="1781"/>
      <c r="AE992" s="1782"/>
      <c r="AF992" s="1861" t="s">
        <v>674</v>
      </c>
      <c r="AG992" s="1862"/>
      <c r="AH992" s="1862"/>
      <c r="AI992" s="1863"/>
      <c r="AJ992" s="1780"/>
      <c r="AK992" s="1781"/>
      <c r="AL992" s="1781"/>
      <c r="AM992" s="1781"/>
      <c r="AN992" s="1781"/>
      <c r="AO992" s="1781"/>
      <c r="AP992" s="1781"/>
      <c r="AQ992" s="178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3" t="s">
        <v>1324</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64" t="s">
        <v>677</v>
      </c>
      <c r="AH993" s="1865"/>
      <c r="AI993" s="87"/>
      <c r="AJ993" s="1771">
        <f>ROUND(IF(AND(AG993="yes",D999&gt;0),AJ991*0.2,0),0)</f>
        <v>0</v>
      </c>
      <c r="AK993" s="1772"/>
      <c r="AL993" s="1772"/>
      <c r="AM993" s="1772"/>
      <c r="AN993" s="1772"/>
      <c r="AO993" s="1772"/>
      <c r="AP993" s="1772"/>
      <c r="AQ993" s="177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92" t="s">
        <v>2559</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3"/>
      <c r="AG994" s="14"/>
      <c r="AH994" s="14"/>
      <c r="AI994" s="83"/>
      <c r="AJ994" s="1774"/>
      <c r="AK994" s="1775"/>
      <c r="AL994" s="1775"/>
      <c r="AM994" s="1775"/>
      <c r="AN994" s="1775"/>
      <c r="AO994" s="1775"/>
      <c r="AP994" s="1775"/>
      <c r="AQ994" s="177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92"/>
      <c r="E995" s="1793"/>
      <c r="F995" s="1793"/>
      <c r="G995" s="1793"/>
      <c r="H995" s="1793"/>
      <c r="I995" s="1793"/>
      <c r="J995" s="1793"/>
      <c r="K995" s="1793"/>
      <c r="L995" s="1793"/>
      <c r="M995" s="1793"/>
      <c r="N995" s="1793"/>
      <c r="O995" s="1793"/>
      <c r="P995" s="1793"/>
      <c r="Q995" s="1793"/>
      <c r="R995" s="1793"/>
      <c r="S995" s="1793"/>
      <c r="T995" s="1793"/>
      <c r="U995" s="1793"/>
      <c r="V995" s="1793"/>
      <c r="W995" s="1793"/>
      <c r="X995" s="1793"/>
      <c r="Y995" s="1793"/>
      <c r="Z995" s="1793"/>
      <c r="AA995" s="1793"/>
      <c r="AB995" s="1793"/>
      <c r="AC995" s="1793"/>
      <c r="AD995" s="1793"/>
      <c r="AE995" s="1794"/>
      <c r="AF995" s="73"/>
      <c r="AG995" s="14"/>
      <c r="AH995" s="14"/>
      <c r="AI995" s="83"/>
      <c r="AJ995" s="1774"/>
      <c r="AK995" s="1775"/>
      <c r="AL995" s="1775"/>
      <c r="AM995" s="1775"/>
      <c r="AN995" s="1775"/>
      <c r="AO995" s="1775"/>
      <c r="AP995" s="1775"/>
      <c r="AQ995" s="177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92"/>
      <c r="E996" s="1793"/>
      <c r="F996" s="1793"/>
      <c r="G996" s="1793"/>
      <c r="H996" s="1793"/>
      <c r="I996" s="1793"/>
      <c r="J996" s="1793"/>
      <c r="K996" s="1793"/>
      <c r="L996" s="1793"/>
      <c r="M996" s="1793"/>
      <c r="N996" s="1793"/>
      <c r="O996" s="1793"/>
      <c r="P996" s="1793"/>
      <c r="Q996" s="1793"/>
      <c r="R996" s="1793"/>
      <c r="S996" s="1793"/>
      <c r="T996" s="1793"/>
      <c r="U996" s="1793"/>
      <c r="V996" s="1793"/>
      <c r="W996" s="1793"/>
      <c r="X996" s="1793"/>
      <c r="Y996" s="1793"/>
      <c r="Z996" s="1793"/>
      <c r="AA996" s="1793"/>
      <c r="AB996" s="1793"/>
      <c r="AC996" s="1793"/>
      <c r="AD996" s="1793"/>
      <c r="AE996" s="1794"/>
      <c r="AF996" s="73"/>
      <c r="AG996" s="14"/>
      <c r="AH996" s="14"/>
      <c r="AI996" s="83"/>
      <c r="AJ996" s="1774"/>
      <c r="AK996" s="1775"/>
      <c r="AL996" s="1775"/>
      <c r="AM996" s="1775"/>
      <c r="AN996" s="1775"/>
      <c r="AO996" s="1775"/>
      <c r="AP996" s="1775"/>
      <c r="AQ996" s="177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92"/>
      <c r="E997" s="1793"/>
      <c r="F997" s="1793"/>
      <c r="G997" s="1793"/>
      <c r="H997" s="1793"/>
      <c r="I997" s="1793"/>
      <c r="J997" s="1793"/>
      <c r="K997" s="1793"/>
      <c r="L997" s="1793"/>
      <c r="M997" s="1793"/>
      <c r="N997" s="1793"/>
      <c r="O997" s="1793"/>
      <c r="P997" s="1793"/>
      <c r="Q997" s="1793"/>
      <c r="R997" s="1793"/>
      <c r="S997" s="1793"/>
      <c r="T997" s="1793"/>
      <c r="U997" s="1793"/>
      <c r="V997" s="1793"/>
      <c r="W997" s="1793"/>
      <c r="X997" s="1793"/>
      <c r="Y997" s="1793"/>
      <c r="Z997" s="1793"/>
      <c r="AA997" s="1793"/>
      <c r="AB997" s="1793"/>
      <c r="AC997" s="1793"/>
      <c r="AD997" s="1793"/>
      <c r="AE997" s="1794"/>
      <c r="AF997" s="73"/>
      <c r="AG997" s="14"/>
      <c r="AH997" s="14"/>
      <c r="AI997" s="83"/>
      <c r="AJ997" s="1774"/>
      <c r="AK997" s="1775"/>
      <c r="AL997" s="1775"/>
      <c r="AM997" s="1775"/>
      <c r="AN997" s="1775"/>
      <c r="AO997" s="1775"/>
      <c r="AP997" s="1775"/>
      <c r="AQ997" s="177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95" t="s">
        <v>2560</v>
      </c>
      <c r="E998" s="1796"/>
      <c r="F998" s="1796"/>
      <c r="G998" s="1796"/>
      <c r="H998" s="1796"/>
      <c r="I998" s="1796"/>
      <c r="J998" s="1796"/>
      <c r="K998" s="1796"/>
      <c r="L998" s="1796"/>
      <c r="M998" s="1796"/>
      <c r="N998" s="1796"/>
      <c r="O998" s="1796"/>
      <c r="P998" s="1796"/>
      <c r="Q998" s="1796"/>
      <c r="R998" s="1796"/>
      <c r="S998" s="1796"/>
      <c r="T998" s="1796"/>
      <c r="U998" s="1796"/>
      <c r="V998" s="1796"/>
      <c r="W998" s="1796"/>
      <c r="X998" s="1796"/>
      <c r="Y998" s="1796"/>
      <c r="Z998" s="1796"/>
      <c r="AA998" s="1796"/>
      <c r="AB998" s="1796"/>
      <c r="AC998" s="1796"/>
      <c r="AD998" s="1796"/>
      <c r="AE998" s="1797"/>
      <c r="AF998" s="73"/>
      <c r="AG998" s="14"/>
      <c r="AH998" s="14"/>
      <c r="AI998" s="83"/>
      <c r="AJ998" s="1774"/>
      <c r="AK998" s="1775"/>
      <c r="AL998" s="1775"/>
      <c r="AM998" s="1775"/>
      <c r="AN998" s="1775"/>
      <c r="AO998" s="1775"/>
      <c r="AP998" s="1775"/>
      <c r="AQ998" s="177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9"/>
      <c r="E999" s="1790"/>
      <c r="F999" s="1790"/>
      <c r="G999" s="1790"/>
      <c r="H999" s="1790"/>
      <c r="I999" s="1790"/>
      <c r="J999" s="1790"/>
      <c r="K999" s="1790"/>
      <c r="L999" s="1790"/>
      <c r="M999" s="1790"/>
      <c r="N999" s="1790"/>
      <c r="O999" s="1790"/>
      <c r="P999" s="1790"/>
      <c r="Q999" s="1790"/>
      <c r="R999" s="1790"/>
      <c r="S999" s="1790"/>
      <c r="T999" s="1790"/>
      <c r="U999" s="1790"/>
      <c r="V999" s="1790"/>
      <c r="W999" s="1790"/>
      <c r="X999" s="1790"/>
      <c r="Y999" s="1790"/>
      <c r="Z999" s="1790"/>
      <c r="AA999" s="1790"/>
      <c r="AB999" s="1790"/>
      <c r="AC999" s="1790"/>
      <c r="AD999" s="1790"/>
      <c r="AE999" s="1791"/>
      <c r="AF999" s="77"/>
      <c r="AG999" s="7"/>
      <c r="AH999" s="7"/>
      <c r="AI999" s="78"/>
      <c r="AJ999" s="1777"/>
      <c r="AK999" s="1778"/>
      <c r="AL999" s="1778"/>
      <c r="AM999" s="1778"/>
      <c r="AN999" s="1778"/>
      <c r="AO999" s="1778"/>
      <c r="AP999" s="1778"/>
      <c r="AQ999" s="177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0" t="s">
        <v>1394</v>
      </c>
      <c r="E1000" s="1761"/>
      <c r="F1000" s="1761"/>
      <c r="G1000" s="1761"/>
      <c r="H1000" s="1761"/>
      <c r="I1000" s="1761"/>
      <c r="J1000" s="1761"/>
      <c r="K1000" s="1761"/>
      <c r="L1000" s="1761"/>
      <c r="M1000" s="1761"/>
      <c r="N1000" s="1761"/>
      <c r="O1000" s="1761"/>
      <c r="P1000" s="1761"/>
      <c r="Q1000" s="1761"/>
      <c r="R1000" s="1761"/>
      <c r="S1000" s="1761"/>
      <c r="T1000" s="1761"/>
      <c r="U1000" s="1761"/>
      <c r="V1000" s="1761"/>
      <c r="W1000" s="1761"/>
      <c r="X1000" s="1761"/>
      <c r="Y1000" s="1761"/>
      <c r="Z1000" s="1761"/>
      <c r="AA1000" s="1761"/>
      <c r="AB1000" s="1761"/>
      <c r="AC1000" s="1761"/>
      <c r="AD1000" s="1761"/>
      <c r="AE1000" s="1762"/>
      <c r="AF1000" s="79"/>
      <c r="AG1000" s="1734" t="s">
        <v>677</v>
      </c>
      <c r="AH1000" s="1735"/>
      <c r="AI1000" s="87"/>
      <c r="AJ1000" s="1771">
        <f>ROUND(IF(AG1000="yes",AJ991*0.05,0),0)</f>
        <v>0</v>
      </c>
      <c r="AK1000" s="1772"/>
      <c r="AL1000" s="1772"/>
      <c r="AM1000" s="1772"/>
      <c r="AN1000" s="1772"/>
      <c r="AO1000" s="1772"/>
      <c r="AP1000" s="1772"/>
      <c r="AQ1000" s="177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92" t="s">
        <v>1392</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4"/>
      <c r="AH1001" s="14"/>
      <c r="AI1001" s="83"/>
      <c r="AJ1001" s="1774"/>
      <c r="AK1001" s="1775"/>
      <c r="AL1001" s="1775"/>
      <c r="AM1001" s="1775"/>
      <c r="AN1001" s="1775"/>
      <c r="AO1001" s="1775"/>
      <c r="AP1001" s="1775"/>
      <c r="AQ1001" s="177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92"/>
      <c r="E1002" s="1793"/>
      <c r="F1002" s="1793"/>
      <c r="G1002" s="1793"/>
      <c r="H1002" s="1793"/>
      <c r="I1002" s="1793"/>
      <c r="J1002" s="1793"/>
      <c r="K1002" s="1793"/>
      <c r="L1002" s="1793"/>
      <c r="M1002" s="1793"/>
      <c r="N1002" s="1793"/>
      <c r="O1002" s="1793"/>
      <c r="P1002" s="1793"/>
      <c r="Q1002" s="1793"/>
      <c r="R1002" s="1793"/>
      <c r="S1002" s="1793"/>
      <c r="T1002" s="1793"/>
      <c r="U1002" s="1793"/>
      <c r="V1002" s="1793"/>
      <c r="W1002" s="1793"/>
      <c r="X1002" s="1793"/>
      <c r="Y1002" s="1793"/>
      <c r="Z1002" s="1793"/>
      <c r="AA1002" s="1793"/>
      <c r="AB1002" s="1793"/>
      <c r="AC1002" s="1793"/>
      <c r="AD1002" s="1793"/>
      <c r="AE1002" s="1794"/>
      <c r="AF1002" s="73"/>
      <c r="AG1002" s="14"/>
      <c r="AH1002" s="14"/>
      <c r="AI1002" s="83"/>
      <c r="AJ1002" s="1774"/>
      <c r="AK1002" s="1775"/>
      <c r="AL1002" s="1775"/>
      <c r="AM1002" s="1775"/>
      <c r="AN1002" s="1775"/>
      <c r="AO1002" s="1775"/>
      <c r="AP1002" s="1775"/>
      <c r="AQ1002" s="1776"/>
      <c r="AR1002" s="68"/>
      <c r="AS1002" s="68"/>
      <c r="AT1002" s="68"/>
      <c r="AU1002" s="68"/>
      <c r="AV1002" s="68"/>
      <c r="AW1002" s="68"/>
      <c r="AX1002" s="68"/>
      <c r="AY1002" s="949">
        <f>G753+O797</f>
        <v>158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92"/>
      <c r="E1003" s="1793"/>
      <c r="F1003" s="1793"/>
      <c r="G1003" s="1793"/>
      <c r="H1003" s="1793"/>
      <c r="I1003" s="1793"/>
      <c r="J1003" s="1793"/>
      <c r="K1003" s="1793"/>
      <c r="L1003" s="1793"/>
      <c r="M1003" s="1793"/>
      <c r="N1003" s="1793"/>
      <c r="O1003" s="1793"/>
      <c r="P1003" s="1793"/>
      <c r="Q1003" s="1793"/>
      <c r="R1003" s="1793"/>
      <c r="S1003" s="1793"/>
      <c r="T1003" s="1793"/>
      <c r="U1003" s="1793"/>
      <c r="V1003" s="1793"/>
      <c r="W1003" s="1793"/>
      <c r="X1003" s="1793"/>
      <c r="Y1003" s="1793"/>
      <c r="Z1003" s="1793"/>
      <c r="AA1003" s="1793"/>
      <c r="AB1003" s="1793"/>
      <c r="AC1003" s="1793"/>
      <c r="AD1003" s="1793"/>
      <c r="AE1003" s="1794"/>
      <c r="AF1003" s="73"/>
      <c r="AG1003" s="14"/>
      <c r="AH1003" s="14"/>
      <c r="AI1003" s="83"/>
      <c r="AJ1003" s="1774"/>
      <c r="AK1003" s="1775"/>
      <c r="AL1003" s="1775"/>
      <c r="AM1003" s="1775"/>
      <c r="AN1003" s="1775"/>
      <c r="AO1003" s="1775"/>
      <c r="AP1003" s="1775"/>
      <c r="AQ1003" s="177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92"/>
      <c r="E1004" s="1793"/>
      <c r="F1004" s="1793"/>
      <c r="G1004" s="1793"/>
      <c r="H1004" s="1793"/>
      <c r="I1004" s="1793"/>
      <c r="J1004" s="1793"/>
      <c r="K1004" s="1793"/>
      <c r="L1004" s="1793"/>
      <c r="M1004" s="1793"/>
      <c r="N1004" s="1793"/>
      <c r="O1004" s="1793"/>
      <c r="P1004" s="1793"/>
      <c r="Q1004" s="1793"/>
      <c r="R1004" s="1793"/>
      <c r="S1004" s="1793"/>
      <c r="T1004" s="1793"/>
      <c r="U1004" s="1793"/>
      <c r="V1004" s="1793"/>
      <c r="W1004" s="1793"/>
      <c r="X1004" s="1793"/>
      <c r="Y1004" s="1793"/>
      <c r="Z1004" s="1793"/>
      <c r="AA1004" s="1793"/>
      <c r="AB1004" s="1793"/>
      <c r="AC1004" s="1793"/>
      <c r="AD1004" s="1793"/>
      <c r="AE1004" s="1794"/>
      <c r="AF1004" s="73"/>
      <c r="AG1004" s="14"/>
      <c r="AH1004" s="14"/>
      <c r="AI1004" s="83"/>
      <c r="AJ1004" s="1774"/>
      <c r="AK1004" s="1775"/>
      <c r="AL1004" s="1775"/>
      <c r="AM1004" s="1775"/>
      <c r="AN1004" s="1775"/>
      <c r="AO1004" s="1775"/>
      <c r="AP1004" s="1775"/>
      <c r="AQ1004" s="1776"/>
      <c r="AR1004" s="68"/>
      <c r="AS1004" s="68"/>
      <c r="AT1004" s="68"/>
      <c r="AU1004" s="68"/>
      <c r="AV1004" s="68"/>
      <c r="AW1004" s="68"/>
      <c r="AX1004" s="68"/>
      <c r="AY1004" s="948">
        <f>ROUNDDOWN(X1047/I1047,2)</f>
        <v>7.0000000000000007E-2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7"/>
      <c r="AG1005" s="7"/>
      <c r="AH1005" s="7"/>
      <c r="AI1005" s="78"/>
      <c r="AJ1005" s="1777"/>
      <c r="AK1005" s="1778"/>
      <c r="AL1005" s="1778"/>
      <c r="AM1005" s="1778"/>
      <c r="AN1005" s="1778"/>
      <c r="AO1005" s="1778"/>
      <c r="AP1005" s="1778"/>
      <c r="AQ1005" s="1779"/>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60" t="s">
        <v>1867</v>
      </c>
      <c r="E1006" s="1761"/>
      <c r="F1006" s="1761"/>
      <c r="G1006" s="1761"/>
      <c r="H1006" s="1761"/>
      <c r="I1006" s="1761"/>
      <c r="J1006" s="1761"/>
      <c r="K1006" s="1761"/>
      <c r="L1006" s="1761"/>
      <c r="M1006" s="1761"/>
      <c r="N1006" s="1761"/>
      <c r="O1006" s="1761"/>
      <c r="P1006" s="1761"/>
      <c r="Q1006" s="1761"/>
      <c r="R1006" s="1761"/>
      <c r="S1006" s="1761"/>
      <c r="T1006" s="1761"/>
      <c r="U1006" s="1761"/>
      <c r="V1006" s="1761"/>
      <c r="W1006" s="1761"/>
      <c r="X1006" s="1761"/>
      <c r="Y1006" s="1761"/>
      <c r="Z1006" s="1761"/>
      <c r="AA1006" s="1761"/>
      <c r="AB1006" s="1761"/>
      <c r="AC1006" s="1761"/>
      <c r="AD1006" s="1761"/>
      <c r="AE1006" s="1762"/>
      <c r="AF1006" s="86"/>
      <c r="AG1006" s="1734" t="s">
        <v>553</v>
      </c>
      <c r="AH1006" s="1735"/>
      <c r="AI1006" s="87"/>
      <c r="AJ1006" s="1771">
        <f>ROUND(IF(AG1006="yes",AJ991*0.1,0),0)</f>
        <v>9631458</v>
      </c>
      <c r="AK1006" s="1772"/>
      <c r="AL1006" s="1772"/>
      <c r="AM1006" s="1772"/>
      <c r="AN1006" s="1772"/>
      <c r="AO1006" s="1772"/>
      <c r="AP1006" s="1772"/>
      <c r="AQ1006" s="1773"/>
      <c r="AR1006" s="68"/>
      <c r="AS1006" s="68"/>
      <c r="AT1006" s="68"/>
      <c r="AU1006" s="68"/>
      <c r="AV1006" s="68"/>
      <c r="AW1006" s="68"/>
      <c r="AX1006" s="68"/>
      <c r="BB1006" s="34"/>
      <c r="BD1006" s="34"/>
      <c r="BE1006" s="34"/>
      <c r="BF1006" s="34"/>
    </row>
    <row r="1007" spans="1:157" ht="12.95" customHeight="1">
      <c r="A1007" s="14"/>
      <c r="B1007" s="73"/>
      <c r="C1007" s="74"/>
      <c r="D1007" s="1738" t="s">
        <v>1393</v>
      </c>
      <c r="E1007" s="1739"/>
      <c r="F1007" s="1739"/>
      <c r="G1007" s="1739"/>
      <c r="H1007" s="1739"/>
      <c r="I1007" s="1739"/>
      <c r="J1007" s="1739"/>
      <c r="K1007" s="1739"/>
      <c r="L1007" s="1739"/>
      <c r="M1007" s="1739"/>
      <c r="N1007" s="1739"/>
      <c r="O1007" s="1739"/>
      <c r="P1007" s="1739"/>
      <c r="Q1007" s="1739"/>
      <c r="R1007" s="1739"/>
      <c r="S1007" s="1739"/>
      <c r="T1007" s="1739"/>
      <c r="U1007" s="1739"/>
      <c r="V1007" s="1739"/>
      <c r="W1007" s="1739"/>
      <c r="X1007" s="1739"/>
      <c r="Y1007" s="1739"/>
      <c r="Z1007" s="1739"/>
      <c r="AA1007" s="1739"/>
      <c r="AB1007" s="1739"/>
      <c r="AC1007" s="1739"/>
      <c r="AD1007" s="1739"/>
      <c r="AE1007" s="1740"/>
      <c r="AF1007" s="73"/>
      <c r="AI1007" s="83"/>
      <c r="AJ1007" s="1774"/>
      <c r="AK1007" s="1775"/>
      <c r="AL1007" s="1775"/>
      <c r="AM1007" s="1775"/>
      <c r="AN1007" s="1775"/>
      <c r="AO1007" s="1775"/>
      <c r="AP1007" s="1775"/>
      <c r="AQ1007" s="1776"/>
      <c r="AR1007" s="68"/>
      <c r="AS1007" s="68"/>
      <c r="AT1007" s="68"/>
      <c r="AU1007" s="68"/>
      <c r="AV1007" s="68"/>
      <c r="AW1007" s="68"/>
      <c r="AX1007" s="68"/>
    </row>
    <row r="1008" spans="1:157" ht="12.95" customHeight="1">
      <c r="A1008" s="14"/>
      <c r="B1008" s="73"/>
      <c r="C1008" s="74"/>
      <c r="D1008" s="1738"/>
      <c r="E1008" s="1739"/>
      <c r="F1008" s="1739"/>
      <c r="G1008" s="1739"/>
      <c r="H1008" s="1739"/>
      <c r="I1008" s="1739"/>
      <c r="J1008" s="1739"/>
      <c r="K1008" s="1739"/>
      <c r="L1008" s="1739"/>
      <c r="M1008" s="1739"/>
      <c r="N1008" s="1739"/>
      <c r="O1008" s="1739"/>
      <c r="P1008" s="1739"/>
      <c r="Q1008" s="1739"/>
      <c r="R1008" s="1739"/>
      <c r="S1008" s="1739"/>
      <c r="T1008" s="1739"/>
      <c r="U1008" s="1739"/>
      <c r="V1008" s="1739"/>
      <c r="W1008" s="1739"/>
      <c r="X1008" s="1739"/>
      <c r="Y1008" s="1739"/>
      <c r="Z1008" s="1739"/>
      <c r="AA1008" s="1739"/>
      <c r="AB1008" s="1739"/>
      <c r="AC1008" s="1739"/>
      <c r="AD1008" s="1739"/>
      <c r="AE1008" s="1740"/>
      <c r="AF1008" s="73"/>
      <c r="AG1008" s="14"/>
      <c r="AH1008" s="14"/>
      <c r="AI1008" s="83"/>
      <c r="AJ1008" s="1774"/>
      <c r="AK1008" s="1775"/>
      <c r="AL1008" s="1775"/>
      <c r="AM1008" s="1775"/>
      <c r="AN1008" s="1775"/>
      <c r="AO1008" s="1775"/>
      <c r="AP1008" s="1775"/>
      <c r="AQ1008" s="1776"/>
      <c r="AR1008" s="68"/>
      <c r="AS1008" s="68"/>
      <c r="AT1008" s="68"/>
      <c r="AU1008" s="68"/>
      <c r="AV1008" s="68"/>
      <c r="AW1008" s="68"/>
      <c r="AX1008" s="68"/>
    </row>
    <row r="1009" spans="1:51" ht="12.95" customHeight="1">
      <c r="A1009" s="14"/>
      <c r="B1009" s="85"/>
      <c r="C1009" s="76"/>
      <c r="D1009" s="1741"/>
      <c r="E1009" s="1742"/>
      <c r="F1009" s="1742"/>
      <c r="G1009" s="1742"/>
      <c r="H1009" s="1742"/>
      <c r="I1009" s="1742"/>
      <c r="J1009" s="1742"/>
      <c r="K1009" s="1742"/>
      <c r="L1009" s="1742"/>
      <c r="M1009" s="1742"/>
      <c r="N1009" s="1742"/>
      <c r="O1009" s="1742"/>
      <c r="P1009" s="1742"/>
      <c r="Q1009" s="1742"/>
      <c r="R1009" s="1742"/>
      <c r="S1009" s="1742"/>
      <c r="T1009" s="1742"/>
      <c r="U1009" s="1742"/>
      <c r="V1009" s="1742"/>
      <c r="W1009" s="1742"/>
      <c r="X1009" s="1742"/>
      <c r="Y1009" s="1742"/>
      <c r="Z1009" s="1742"/>
      <c r="AA1009" s="1742"/>
      <c r="AB1009" s="1742"/>
      <c r="AC1009" s="1742"/>
      <c r="AD1009" s="1742"/>
      <c r="AE1009" s="1743"/>
      <c r="AF1009" s="77"/>
      <c r="AG1009" s="7"/>
      <c r="AH1009" s="7"/>
      <c r="AI1009" s="78"/>
      <c r="AJ1009" s="1777"/>
      <c r="AK1009" s="1778"/>
      <c r="AL1009" s="1778"/>
      <c r="AM1009" s="1778"/>
      <c r="AN1009" s="1778"/>
      <c r="AO1009" s="1778"/>
      <c r="AP1009" s="1778"/>
      <c r="AQ1009" s="1779"/>
      <c r="AR1009" s="68"/>
      <c r="AS1009" s="68"/>
      <c r="AT1009" s="68"/>
      <c r="AU1009" s="68"/>
      <c r="AV1009" s="68"/>
      <c r="AW1009" s="68"/>
      <c r="AX1009" s="68"/>
    </row>
    <row r="1010" spans="1:51" ht="12.95" customHeight="1">
      <c r="A1010" s="14"/>
      <c r="B1010" s="79"/>
      <c r="C1010" s="80" t="s">
        <v>212</v>
      </c>
      <c r="D1010" s="1760" t="s">
        <v>1395</v>
      </c>
      <c r="E1010" s="1761"/>
      <c r="F1010" s="1761"/>
      <c r="G1010" s="1761"/>
      <c r="H1010" s="1761"/>
      <c r="I1010" s="1761"/>
      <c r="J1010" s="1761"/>
      <c r="K1010" s="1761"/>
      <c r="L1010" s="1761"/>
      <c r="M1010" s="1761"/>
      <c r="N1010" s="1761"/>
      <c r="O1010" s="1761"/>
      <c r="P1010" s="1761"/>
      <c r="Q1010" s="1761"/>
      <c r="R1010" s="1761"/>
      <c r="S1010" s="1761"/>
      <c r="T1010" s="1761"/>
      <c r="U1010" s="1761"/>
      <c r="V1010" s="1761"/>
      <c r="W1010" s="1761"/>
      <c r="X1010" s="1761"/>
      <c r="Y1010" s="1761"/>
      <c r="Z1010" s="1761"/>
      <c r="AA1010" s="1761"/>
      <c r="AB1010" s="1761"/>
      <c r="AC1010" s="1761"/>
      <c r="AD1010" s="1761"/>
      <c r="AE1010" s="1762"/>
      <c r="AF1010" s="79"/>
      <c r="AG1010" s="1734" t="s">
        <v>677</v>
      </c>
      <c r="AH1010" s="1735"/>
      <c r="AI1010" s="87"/>
      <c r="AJ1010" s="1771">
        <f>ROUND(IF(AG1010="yes",AJ991*0.02,0),0)</f>
        <v>0</v>
      </c>
      <c r="AK1010" s="1772"/>
      <c r="AL1010" s="1772"/>
      <c r="AM1010" s="1772"/>
      <c r="AN1010" s="1772"/>
      <c r="AO1010" s="1772"/>
      <c r="AP1010" s="1772"/>
      <c r="AQ1010" s="1773"/>
      <c r="AR1010" s="68"/>
      <c r="AS1010" s="68"/>
      <c r="AT1010" s="68"/>
      <c r="AU1010" s="68"/>
      <c r="AV1010" s="68"/>
      <c r="AW1010" s="68"/>
      <c r="AX1010" s="68"/>
      <c r="AY1010" s="215">
        <f>IF(SUM(AY1012:AY1020)&lt;=0.1,SUM(AY1012:AY1020),0.1)</f>
        <v>0</v>
      </c>
    </row>
    <row r="1011" spans="1:51" ht="14.25" customHeight="1">
      <c r="A1011" s="14"/>
      <c r="B1011" s="73"/>
      <c r="C1011" s="74"/>
      <c r="D1011" s="1741" t="s">
        <v>1396</v>
      </c>
      <c r="E1011" s="1742"/>
      <c r="F1011" s="1742"/>
      <c r="G1011" s="1742"/>
      <c r="H1011" s="1742"/>
      <c r="I1011" s="1742"/>
      <c r="J1011" s="1742"/>
      <c r="K1011" s="1742"/>
      <c r="L1011" s="1742"/>
      <c r="M1011" s="1742"/>
      <c r="N1011" s="1742"/>
      <c r="O1011" s="1742"/>
      <c r="P1011" s="1742"/>
      <c r="Q1011" s="1742"/>
      <c r="R1011" s="1742"/>
      <c r="S1011" s="1742"/>
      <c r="T1011" s="1742"/>
      <c r="U1011" s="1742"/>
      <c r="V1011" s="1742"/>
      <c r="W1011" s="1742"/>
      <c r="X1011" s="1742"/>
      <c r="Y1011" s="1742"/>
      <c r="Z1011" s="1742"/>
      <c r="AA1011" s="1742"/>
      <c r="AB1011" s="1742"/>
      <c r="AC1011" s="1742"/>
      <c r="AD1011" s="1742"/>
      <c r="AE1011" s="1743"/>
      <c r="AF1011" s="77"/>
      <c r="AG1011" s="7"/>
      <c r="AH1011" s="7"/>
      <c r="AI1011" s="78"/>
      <c r="AJ1011" s="1777"/>
      <c r="AK1011" s="1778"/>
      <c r="AL1011" s="1778"/>
      <c r="AM1011" s="1778"/>
      <c r="AN1011" s="1778"/>
      <c r="AO1011" s="1778"/>
      <c r="AP1011" s="1778"/>
      <c r="AQ1011" s="1779"/>
      <c r="AR1011" s="68"/>
      <c r="AS1011" s="68"/>
      <c r="AT1011" s="68"/>
      <c r="AU1011" s="68"/>
      <c r="AV1011" s="68"/>
      <c r="AW1011" s="68"/>
      <c r="AX1011" s="68"/>
    </row>
    <row r="1012" spans="1:51" ht="12.95" customHeight="1">
      <c r="A1012" s="14"/>
      <c r="B1012" s="79"/>
      <c r="C1012" s="80" t="s">
        <v>215</v>
      </c>
      <c r="D1012" s="1760" t="s">
        <v>1397</v>
      </c>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9"/>
      <c r="AG1012" s="1734" t="s">
        <v>677</v>
      </c>
      <c r="AH1012" s="1735"/>
      <c r="AI1012" s="79"/>
      <c r="AJ1012" s="1771">
        <f>ROUND(IF(AG1012="yes",AJ991*0.02,0),0)</f>
        <v>0</v>
      </c>
      <c r="AK1012" s="1772"/>
      <c r="AL1012" s="1772"/>
      <c r="AM1012" s="1772"/>
      <c r="AN1012" s="1772"/>
      <c r="AO1012" s="1772"/>
      <c r="AP1012" s="1772"/>
      <c r="AQ1012" s="1773"/>
      <c r="AR1012" s="68"/>
      <c r="AS1012" s="68"/>
      <c r="AT1012" s="68"/>
      <c r="AU1012" s="68"/>
      <c r="AV1012" s="68"/>
      <c r="AW1012" s="68"/>
      <c r="AX1012" s="68"/>
      <c r="AY1012" s="213">
        <f>IF(A1064="Yes",0.05,0)</f>
        <v>0</v>
      </c>
    </row>
    <row r="1013" spans="1:51" ht="12.95" customHeight="1">
      <c r="A1013" s="14"/>
      <c r="B1013" s="73"/>
      <c r="C1013" s="74"/>
      <c r="D1013" s="1738" t="s">
        <v>1398</v>
      </c>
      <c r="E1013" s="1739"/>
      <c r="F1013" s="1739"/>
      <c r="G1013" s="1739"/>
      <c r="H1013" s="1739"/>
      <c r="I1013" s="1739"/>
      <c r="J1013" s="1739"/>
      <c r="K1013" s="1739"/>
      <c r="L1013" s="1739"/>
      <c r="M1013" s="1739"/>
      <c r="N1013" s="1739"/>
      <c r="O1013" s="1739"/>
      <c r="P1013" s="1739"/>
      <c r="Q1013" s="1739"/>
      <c r="R1013" s="1739"/>
      <c r="S1013" s="1739"/>
      <c r="T1013" s="1739"/>
      <c r="U1013" s="1739"/>
      <c r="V1013" s="1739"/>
      <c r="W1013" s="1739"/>
      <c r="X1013" s="1739"/>
      <c r="Y1013" s="1739"/>
      <c r="Z1013" s="1739"/>
      <c r="AA1013" s="1739"/>
      <c r="AB1013" s="1739"/>
      <c r="AC1013" s="1739"/>
      <c r="AD1013" s="1739"/>
      <c r="AE1013" s="1740"/>
      <c r="AF1013" s="1849" t="str">
        <f>IF(AND(AG1012="yes",AB212&lt;&gt;1),"The project may not be eligible for this boost","")</f>
        <v/>
      </c>
      <c r="AG1013" s="1850"/>
      <c r="AH1013" s="1850"/>
      <c r="AI1013" s="1851"/>
      <c r="AJ1013" s="1774"/>
      <c r="AK1013" s="1775"/>
      <c r="AL1013" s="1775"/>
      <c r="AM1013" s="1775"/>
      <c r="AN1013" s="1775"/>
      <c r="AO1013" s="1775"/>
      <c r="AP1013" s="1775"/>
      <c r="AQ1013" s="1776"/>
      <c r="AR1013" s="68"/>
      <c r="AS1013" s="68"/>
      <c r="AT1013" s="68"/>
      <c r="AU1013" s="68"/>
      <c r="AV1013" s="68"/>
      <c r="AW1013" s="68"/>
      <c r="AX1013" s="68"/>
      <c r="AY1013" s="213">
        <f>IF(A1070="Yes",0.02,0)</f>
        <v>0</v>
      </c>
    </row>
    <row r="1014" spans="1:51" ht="12.95" customHeight="1">
      <c r="A1014" s="14"/>
      <c r="B1014" s="75"/>
      <c r="C1014" s="76"/>
      <c r="D1014" s="1741"/>
      <c r="E1014" s="1742"/>
      <c r="F1014" s="1742"/>
      <c r="G1014" s="1742"/>
      <c r="H1014" s="1742"/>
      <c r="I1014" s="1742"/>
      <c r="J1014" s="1742"/>
      <c r="K1014" s="1742"/>
      <c r="L1014" s="1742"/>
      <c r="M1014" s="1742"/>
      <c r="N1014" s="1742"/>
      <c r="O1014" s="1742"/>
      <c r="P1014" s="1742"/>
      <c r="Q1014" s="1742"/>
      <c r="R1014" s="1742"/>
      <c r="S1014" s="1742"/>
      <c r="T1014" s="1742"/>
      <c r="U1014" s="1742"/>
      <c r="V1014" s="1742"/>
      <c r="W1014" s="1742"/>
      <c r="X1014" s="1742"/>
      <c r="Y1014" s="1742"/>
      <c r="Z1014" s="1742"/>
      <c r="AA1014" s="1742"/>
      <c r="AB1014" s="1742"/>
      <c r="AC1014" s="1742"/>
      <c r="AD1014" s="1742"/>
      <c r="AE1014" s="1743"/>
      <c r="AF1014" s="1852"/>
      <c r="AG1014" s="1853"/>
      <c r="AH1014" s="1853"/>
      <c r="AI1014" s="1854"/>
      <c r="AJ1014" s="1777"/>
      <c r="AK1014" s="1778"/>
      <c r="AL1014" s="1778"/>
      <c r="AM1014" s="1778"/>
      <c r="AN1014" s="1778"/>
      <c r="AO1014" s="1778"/>
      <c r="AP1014" s="1778"/>
      <c r="AQ1014" s="1779"/>
      <c r="AR1014" s="68"/>
      <c r="AS1014" s="68"/>
      <c r="AT1014" s="68"/>
      <c r="AU1014" s="68"/>
      <c r="AV1014" s="68"/>
      <c r="AW1014" s="68"/>
      <c r="AX1014" s="68"/>
      <c r="AY1014" s="213">
        <f>IF(A1076="Yes",0.04,0)</f>
        <v>0</v>
      </c>
    </row>
    <row r="1015" spans="1:51" ht="12.95" customHeight="1">
      <c r="A1015" s="14"/>
      <c r="B1015" s="79"/>
      <c r="C1015" s="80" t="s">
        <v>218</v>
      </c>
      <c r="D1015" s="1783" t="s">
        <v>1399</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734" t="s">
        <v>677</v>
      </c>
      <c r="AH1015" s="1735"/>
      <c r="AI1015" s="87"/>
      <c r="AJ1015" s="1771">
        <f>IF(AG1015="yes",AJ991*AY1010,0)</f>
        <v>0</v>
      </c>
      <c r="AK1015" s="1772"/>
      <c r="AL1015" s="1772"/>
      <c r="AM1015" s="1772"/>
      <c r="AN1015" s="1772"/>
      <c r="AO1015" s="1772"/>
      <c r="AP1015" s="1772"/>
      <c r="AQ1015" s="1773"/>
      <c r="AR1015" s="68"/>
      <c r="AS1015" s="68"/>
      <c r="AT1015" s="68"/>
      <c r="AU1015" s="68"/>
      <c r="AV1015" s="68"/>
      <c r="AW1015" s="68"/>
      <c r="AX1015" s="68"/>
      <c r="AY1015" s="213">
        <f>IF(A1083="Yes",0.04,0)</f>
        <v>0</v>
      </c>
    </row>
    <row r="1016" spans="1:51" ht="12.95" customHeight="1">
      <c r="A1016" s="14"/>
      <c r="B1016" s="73"/>
      <c r="C1016" s="74"/>
      <c r="D1016" s="1738" t="s">
        <v>1400</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1843" t="str">
        <f>IF(AND(AG1015="Yes",AY1010=0),AY1022,"")</f>
        <v/>
      </c>
      <c r="AG1016" s="1844"/>
      <c r="AH1016" s="1844"/>
      <c r="AI1016" s="1845"/>
      <c r="AJ1016" s="1774"/>
      <c r="AK1016" s="1775"/>
      <c r="AL1016" s="1775"/>
      <c r="AM1016" s="1775"/>
      <c r="AN1016" s="1775"/>
      <c r="AO1016" s="1775"/>
      <c r="AP1016" s="1775"/>
      <c r="AQ1016" s="1776"/>
      <c r="AR1016" s="68"/>
      <c r="AS1016" s="68"/>
      <c r="AT1016" s="68"/>
      <c r="AU1016" s="68"/>
      <c r="AV1016" s="68"/>
      <c r="AW1016" s="68"/>
      <c r="AX1016" s="68"/>
      <c r="AY1016" s="213">
        <f>IF(A1086="Yes",0.01,0)</f>
        <v>0</v>
      </c>
    </row>
    <row r="1017" spans="1:51" ht="12.95" customHeight="1">
      <c r="A1017" s="14"/>
      <c r="B1017" s="73"/>
      <c r="C1017" s="74"/>
      <c r="D1017" s="1738"/>
      <c r="E1017" s="1739"/>
      <c r="F1017" s="1739"/>
      <c r="G1017" s="1739"/>
      <c r="H1017" s="1739"/>
      <c r="I1017" s="1739"/>
      <c r="J1017" s="1739"/>
      <c r="K1017" s="1739"/>
      <c r="L1017" s="1739"/>
      <c r="M1017" s="1739"/>
      <c r="N1017" s="1739"/>
      <c r="O1017" s="1739"/>
      <c r="P1017" s="1739"/>
      <c r="Q1017" s="1739"/>
      <c r="R1017" s="1739"/>
      <c r="S1017" s="1739"/>
      <c r="T1017" s="1739"/>
      <c r="U1017" s="1739"/>
      <c r="V1017" s="1739"/>
      <c r="W1017" s="1739"/>
      <c r="X1017" s="1739"/>
      <c r="Y1017" s="1739"/>
      <c r="Z1017" s="1739"/>
      <c r="AA1017" s="1739"/>
      <c r="AB1017" s="1739"/>
      <c r="AC1017" s="1739"/>
      <c r="AD1017" s="1739"/>
      <c r="AE1017" s="1740"/>
      <c r="AF1017" s="1843"/>
      <c r="AG1017" s="1844"/>
      <c r="AH1017" s="1844"/>
      <c r="AI1017" s="1845"/>
      <c r="AJ1017" s="1774"/>
      <c r="AK1017" s="1775"/>
      <c r="AL1017" s="1775"/>
      <c r="AM1017" s="1775"/>
      <c r="AN1017" s="1775"/>
      <c r="AO1017" s="1775"/>
      <c r="AP1017" s="1775"/>
      <c r="AQ1017" s="1776"/>
      <c r="AR1017" s="68"/>
      <c r="AS1017" s="68"/>
      <c r="AT1017" s="68"/>
      <c r="AU1017" s="68"/>
      <c r="AV1017" s="68"/>
      <c r="AW1017" s="68"/>
      <c r="AX1017" s="68"/>
      <c r="AY1017" s="213">
        <f>IF(A1091="Yes",0.01,0)</f>
        <v>0</v>
      </c>
    </row>
    <row r="1018" spans="1:51" ht="12.95" customHeight="1">
      <c r="A1018" s="14"/>
      <c r="B1018" s="81"/>
      <c r="C1018" s="82"/>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1846"/>
      <c r="AG1018" s="1847"/>
      <c r="AH1018" s="1847"/>
      <c r="AI1018" s="1848"/>
      <c r="AJ1018" s="1777"/>
      <c r="AK1018" s="1778"/>
      <c r="AL1018" s="1778"/>
      <c r="AM1018" s="1778"/>
      <c r="AN1018" s="1778"/>
      <c r="AO1018" s="1778"/>
      <c r="AP1018" s="1778"/>
      <c r="AQ1018" s="1779"/>
      <c r="AR1018" s="68"/>
      <c r="AS1018" s="68"/>
      <c r="AT1018" s="68"/>
      <c r="AU1018" s="68"/>
      <c r="AV1018" s="68"/>
      <c r="AW1018" s="68"/>
      <c r="AX1018" s="68"/>
      <c r="AY1018" s="213">
        <f>IF(A1094="Yes",0.01,0)</f>
        <v>0</v>
      </c>
    </row>
    <row r="1019" spans="1:51" ht="12.95" customHeight="1">
      <c r="A1019" s="14"/>
      <c r="B1019" s="79"/>
      <c r="C1019" s="80" t="s">
        <v>223</v>
      </c>
      <c r="D1019" s="1804" t="s">
        <v>1401</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734" t="s">
        <v>677</v>
      </c>
      <c r="AH1019" s="1735"/>
      <c r="AI1019" s="87"/>
      <c r="AJ1019" s="1771">
        <f>ROUND(IF(AND(AG1019="Yes",J1023&lt;&gt;"N/A",AF1022&lt;&gt;""),MIN(AF1022,(0.15*AJ991)),0),0)</f>
        <v>0</v>
      </c>
      <c r="AK1019" s="1772"/>
      <c r="AL1019" s="1772"/>
      <c r="AM1019" s="1772"/>
      <c r="AN1019" s="1772"/>
      <c r="AO1019" s="1772"/>
      <c r="AP1019" s="1772"/>
      <c r="AQ1019" s="1773"/>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66" t="str">
        <f>IF(AG1019="yes","Please Select Type and Enter Amount:","")</f>
        <v/>
      </c>
      <c r="AG1020" s="1867"/>
      <c r="AH1020" s="1867"/>
      <c r="AI1020" s="1868"/>
      <c r="AJ1020" s="1774"/>
      <c r="AK1020" s="1775"/>
      <c r="AL1020" s="1775"/>
      <c r="AM1020" s="1775"/>
      <c r="AN1020" s="1775"/>
      <c r="AO1020" s="1775"/>
      <c r="AP1020" s="1775"/>
      <c r="AQ1020" s="1776"/>
      <c r="AR1020" s="68"/>
      <c r="AS1020" s="68"/>
      <c r="AT1020" s="68"/>
      <c r="AU1020" s="68"/>
      <c r="AV1020" s="68"/>
      <c r="AW1020" s="68"/>
      <c r="AX1020" s="68"/>
      <c r="AY1020" s="214">
        <f>IF(A1103="Yes",0.02,0)</f>
        <v>0</v>
      </c>
    </row>
    <row r="1021" spans="1:51" ht="12.95" customHeight="1">
      <c r="A1021" s="14"/>
      <c r="B1021" s="81"/>
      <c r="C1021" s="84"/>
      <c r="D1021" s="1738" t="s">
        <v>1402</v>
      </c>
      <c r="E1021" s="1739"/>
      <c r="F1021" s="1739"/>
      <c r="G1021" s="1739"/>
      <c r="H1021" s="1739"/>
      <c r="I1021" s="1739"/>
      <c r="J1021" s="1739"/>
      <c r="K1021" s="1739"/>
      <c r="L1021" s="1739"/>
      <c r="M1021" s="1739"/>
      <c r="N1021" s="1739"/>
      <c r="O1021" s="1739"/>
      <c r="P1021" s="1739"/>
      <c r="Q1021" s="1739"/>
      <c r="R1021" s="1739"/>
      <c r="S1021" s="1739"/>
      <c r="T1021" s="1739"/>
      <c r="U1021" s="1739"/>
      <c r="V1021" s="1739"/>
      <c r="W1021" s="1739"/>
      <c r="X1021" s="1739"/>
      <c r="Y1021" s="1739"/>
      <c r="Z1021" s="1739"/>
      <c r="AA1021" s="1739"/>
      <c r="AB1021" s="1739"/>
      <c r="AC1021" s="1739"/>
      <c r="AD1021" s="1739"/>
      <c r="AE1021" s="1740"/>
      <c r="AF1021" s="1866"/>
      <c r="AG1021" s="1867"/>
      <c r="AH1021" s="1867"/>
      <c r="AI1021" s="1868"/>
      <c r="AJ1021" s="1774"/>
      <c r="AK1021" s="1775"/>
      <c r="AL1021" s="1775"/>
      <c r="AM1021" s="1775"/>
      <c r="AN1021" s="1775"/>
      <c r="AO1021" s="1775"/>
      <c r="AP1021" s="1775"/>
      <c r="AQ1021" s="1776"/>
      <c r="AR1021" s="68"/>
      <c r="AS1021" s="68"/>
      <c r="AT1021" s="68"/>
      <c r="AU1021" s="68"/>
      <c r="AV1021" s="68"/>
      <c r="AW1021" s="68"/>
      <c r="AX1021" s="68"/>
      <c r="AY1021" s="68"/>
    </row>
    <row r="1022" spans="1:51" ht="12.95" customHeight="1">
      <c r="A1022" s="14"/>
      <c r="B1022" s="81"/>
      <c r="C1022" s="84"/>
      <c r="D1022" s="1738"/>
      <c r="E1022" s="1739"/>
      <c r="F1022" s="1739"/>
      <c r="G1022" s="1739"/>
      <c r="H1022" s="1739"/>
      <c r="I1022" s="1739"/>
      <c r="J1022" s="1739"/>
      <c r="K1022" s="1739"/>
      <c r="L1022" s="1739"/>
      <c r="M1022" s="1739"/>
      <c r="N1022" s="1739"/>
      <c r="O1022" s="1739"/>
      <c r="P1022" s="1739"/>
      <c r="Q1022" s="1739"/>
      <c r="R1022" s="1739"/>
      <c r="S1022" s="1739"/>
      <c r="T1022" s="1739"/>
      <c r="U1022" s="1739"/>
      <c r="V1022" s="1739"/>
      <c r="W1022" s="1739"/>
      <c r="X1022" s="1739"/>
      <c r="Y1022" s="1739"/>
      <c r="Z1022" s="1739"/>
      <c r="AA1022" s="1739"/>
      <c r="AB1022" s="1739"/>
      <c r="AC1022" s="1739"/>
      <c r="AD1022" s="1739"/>
      <c r="AE1022" s="1740"/>
      <c r="AF1022" s="1860"/>
      <c r="AG1022" s="1860"/>
      <c r="AH1022" s="1860"/>
      <c r="AI1022" s="1860"/>
      <c r="AJ1022" s="1774"/>
      <c r="AK1022" s="1775"/>
      <c r="AL1022" s="1775"/>
      <c r="AM1022" s="1775"/>
      <c r="AN1022" s="1775"/>
      <c r="AO1022" s="1775"/>
      <c r="AP1022" s="1775"/>
      <c r="AQ1022" s="177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798" t="s">
        <v>599</v>
      </c>
      <c r="K1023" s="1799"/>
      <c r="L1023" s="1799"/>
      <c r="M1023" s="1799"/>
      <c r="N1023" s="1799"/>
      <c r="O1023" s="1799"/>
      <c r="P1023" s="1799"/>
      <c r="Q1023" s="1799"/>
      <c r="R1023" s="1799"/>
      <c r="S1023" s="1799"/>
      <c r="T1023" s="1799"/>
      <c r="U1023" s="1799"/>
      <c r="V1023" s="1799"/>
      <c r="W1023" s="1799"/>
      <c r="X1023" s="1799"/>
      <c r="Y1023" s="1799"/>
      <c r="Z1023" s="1799"/>
      <c r="AA1023" s="1799"/>
      <c r="AB1023" s="1799"/>
      <c r="AC1023" s="1799"/>
      <c r="AD1023" s="1799"/>
      <c r="AE1023" s="1800"/>
      <c r="AF1023" s="1860"/>
      <c r="AG1023" s="1860"/>
      <c r="AH1023" s="1860"/>
      <c r="AI1023" s="1860"/>
      <c r="AJ1023" s="1777"/>
      <c r="AK1023" s="1778"/>
      <c r="AL1023" s="1778"/>
      <c r="AM1023" s="1778"/>
      <c r="AN1023" s="1778"/>
      <c r="AO1023" s="1778"/>
      <c r="AP1023" s="1778"/>
      <c r="AQ1023" s="1779"/>
      <c r="AR1023" s="68"/>
      <c r="AS1023" s="68"/>
      <c r="AT1023" s="68"/>
      <c r="AU1023" s="68"/>
      <c r="AV1023" s="68"/>
      <c r="AW1023" s="68"/>
      <c r="AX1023" s="68"/>
      <c r="AY1023" s="68"/>
    </row>
    <row r="1024" spans="1:51" ht="12.95" customHeight="1">
      <c r="A1024" s="14"/>
      <c r="B1024" s="79"/>
      <c r="C1024" s="80" t="s">
        <v>229</v>
      </c>
      <c r="D1024" s="1760" t="s">
        <v>1403</v>
      </c>
      <c r="E1024" s="1761"/>
      <c r="F1024" s="1761"/>
      <c r="G1024" s="1761"/>
      <c r="H1024" s="1761"/>
      <c r="I1024" s="1761"/>
      <c r="J1024" s="1761"/>
      <c r="K1024" s="1761"/>
      <c r="L1024" s="1761"/>
      <c r="M1024" s="1761"/>
      <c r="N1024" s="1761"/>
      <c r="O1024" s="1761"/>
      <c r="P1024" s="1761"/>
      <c r="Q1024" s="1761"/>
      <c r="R1024" s="1761"/>
      <c r="S1024" s="1761"/>
      <c r="T1024" s="1761"/>
      <c r="U1024" s="1761"/>
      <c r="V1024" s="1761"/>
      <c r="W1024" s="1761"/>
      <c r="X1024" s="1761"/>
      <c r="Y1024" s="1761"/>
      <c r="Z1024" s="1761"/>
      <c r="AA1024" s="1761"/>
      <c r="AB1024" s="1761"/>
      <c r="AC1024" s="1761"/>
      <c r="AD1024" s="1761"/>
      <c r="AE1024" s="1762"/>
      <c r="AF1024" s="79"/>
      <c r="AG1024" s="1734" t="s">
        <v>677</v>
      </c>
      <c r="AH1024" s="1735"/>
      <c r="AI1024" s="87"/>
      <c r="AJ1024" s="1771">
        <f>ROUND(IF(AG1024="Yes",AF1026,0),0)</f>
        <v>0</v>
      </c>
      <c r="AK1024" s="1772"/>
      <c r="AL1024" s="1772"/>
      <c r="AM1024" s="1772"/>
      <c r="AN1024" s="1772"/>
      <c r="AO1024" s="1772"/>
      <c r="AP1024" s="1772"/>
      <c r="AQ1024" s="1773"/>
      <c r="AR1024" s="68"/>
      <c r="AS1024" s="68"/>
      <c r="AT1024" s="68"/>
      <c r="AU1024" s="68"/>
      <c r="AV1024" s="68"/>
      <c r="AW1024" s="68"/>
      <c r="AX1024" s="68"/>
      <c r="AY1024" s="68"/>
    </row>
    <row r="1025" spans="1:51" ht="12.95" customHeight="1">
      <c r="A1025" s="14"/>
      <c r="B1025" s="73"/>
      <c r="C1025" s="74"/>
      <c r="D1025" s="1738" t="s">
        <v>1874</v>
      </c>
      <c r="E1025" s="1739"/>
      <c r="F1025" s="1739"/>
      <c r="G1025" s="1739"/>
      <c r="H1025" s="1739"/>
      <c r="I1025" s="1739"/>
      <c r="J1025" s="1739"/>
      <c r="K1025" s="1739"/>
      <c r="L1025" s="1739"/>
      <c r="M1025" s="1739"/>
      <c r="N1025" s="1739"/>
      <c r="O1025" s="1739"/>
      <c r="P1025" s="1739"/>
      <c r="Q1025" s="1739"/>
      <c r="R1025" s="1739"/>
      <c r="S1025" s="1739"/>
      <c r="T1025" s="1739"/>
      <c r="U1025" s="1739"/>
      <c r="V1025" s="1739"/>
      <c r="W1025" s="1739"/>
      <c r="X1025" s="1739"/>
      <c r="Y1025" s="1739"/>
      <c r="Z1025" s="1739"/>
      <c r="AA1025" s="1739"/>
      <c r="AB1025" s="1739"/>
      <c r="AC1025" s="1739"/>
      <c r="AD1025" s="1739"/>
      <c r="AE1025" s="1740"/>
      <c r="AF1025" s="1754" t="str">
        <f>IF(AG1024="yes","Enter Amount:","")</f>
        <v/>
      </c>
      <c r="AG1025" s="1755"/>
      <c r="AH1025" s="1755"/>
      <c r="AI1025" s="1756"/>
      <c r="AJ1025" s="1774"/>
      <c r="AK1025" s="1775"/>
      <c r="AL1025" s="1775"/>
      <c r="AM1025" s="1775"/>
      <c r="AN1025" s="1775"/>
      <c r="AO1025" s="1775"/>
      <c r="AP1025" s="1775"/>
      <c r="AQ1025" s="1776"/>
      <c r="AR1025" s="68"/>
      <c r="AS1025" s="68"/>
      <c r="AT1025" s="68"/>
      <c r="AU1025" s="68"/>
      <c r="AV1025" s="68"/>
      <c r="AW1025" s="68"/>
      <c r="AX1025" s="68"/>
      <c r="AY1025" s="68"/>
    </row>
    <row r="1026" spans="1:51" ht="12.95" customHeight="1">
      <c r="A1026" s="14"/>
      <c r="B1026" s="73"/>
      <c r="C1026" s="74"/>
      <c r="D1026" s="1738"/>
      <c r="E1026" s="1739"/>
      <c r="F1026" s="1739"/>
      <c r="G1026" s="1739"/>
      <c r="H1026" s="1739"/>
      <c r="I1026" s="1739"/>
      <c r="J1026" s="1739"/>
      <c r="K1026" s="1739"/>
      <c r="L1026" s="1739"/>
      <c r="M1026" s="1739"/>
      <c r="N1026" s="1739"/>
      <c r="O1026" s="1739"/>
      <c r="P1026" s="1739"/>
      <c r="Q1026" s="1739"/>
      <c r="R1026" s="1739"/>
      <c r="S1026" s="1739"/>
      <c r="T1026" s="1739"/>
      <c r="U1026" s="1739"/>
      <c r="V1026" s="1739"/>
      <c r="W1026" s="1739"/>
      <c r="X1026" s="1739"/>
      <c r="Y1026" s="1739"/>
      <c r="Z1026" s="1739"/>
      <c r="AA1026" s="1739"/>
      <c r="AB1026" s="1739"/>
      <c r="AC1026" s="1739"/>
      <c r="AD1026" s="1739"/>
      <c r="AE1026" s="1740"/>
      <c r="AF1026" s="1860"/>
      <c r="AG1026" s="1860"/>
      <c r="AH1026" s="1860"/>
      <c r="AI1026" s="1860"/>
      <c r="AJ1026" s="1774"/>
      <c r="AK1026" s="1775"/>
      <c r="AL1026" s="1775"/>
      <c r="AM1026" s="1775"/>
      <c r="AN1026" s="1775"/>
      <c r="AO1026" s="1775"/>
      <c r="AP1026" s="1775"/>
      <c r="AQ1026" s="1776"/>
      <c r="AR1026" s="68"/>
      <c r="AS1026" s="68"/>
      <c r="AT1026" s="68"/>
      <c r="AU1026" s="68"/>
      <c r="AV1026" s="68"/>
      <c r="AW1026" s="68"/>
      <c r="AX1026" s="68"/>
      <c r="AY1026" s="68"/>
    </row>
    <row r="1027" spans="1:51" ht="12.95" customHeight="1">
      <c r="A1027" s="14"/>
      <c r="B1027" s="85"/>
      <c r="C1027" s="8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860"/>
      <c r="AG1027" s="1860"/>
      <c r="AH1027" s="1860"/>
      <c r="AI1027" s="1860"/>
      <c r="AJ1027" s="1777"/>
      <c r="AK1027" s="1778"/>
      <c r="AL1027" s="1778"/>
      <c r="AM1027" s="1778"/>
      <c r="AN1027" s="1778"/>
      <c r="AO1027" s="1778"/>
      <c r="AP1027" s="1778"/>
      <c r="AQ1027" s="1779"/>
      <c r="AR1027" s="68"/>
      <c r="AS1027" s="68"/>
      <c r="AT1027" s="68"/>
      <c r="AU1027" s="68"/>
      <c r="AV1027" s="68"/>
      <c r="AW1027" s="68"/>
      <c r="AX1027" s="68"/>
      <c r="AY1027" s="68"/>
    </row>
    <row r="1028" spans="1:51" ht="12.95" customHeight="1">
      <c r="A1028" s="14"/>
      <c r="B1028" s="79"/>
      <c r="C1028" s="80" t="s">
        <v>234</v>
      </c>
      <c r="D1028" s="1783" t="s">
        <v>1404</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734" t="s">
        <v>553</v>
      </c>
      <c r="AH1028" s="1735"/>
      <c r="AI1028" s="87"/>
      <c r="AJ1028" s="1771">
        <f>ROUND(IF(AG1028="yes",(AJ991*0.1),0),0)</f>
        <v>9631458</v>
      </c>
      <c r="AK1028" s="1772"/>
      <c r="AL1028" s="1772"/>
      <c r="AM1028" s="1772"/>
      <c r="AN1028" s="1772"/>
      <c r="AO1028" s="1772"/>
      <c r="AP1028" s="1772"/>
      <c r="AQ1028" s="1773"/>
      <c r="AR1028" s="68"/>
      <c r="AS1028" s="68"/>
      <c r="AT1028" s="68"/>
      <c r="AU1028" s="68"/>
      <c r="AV1028" s="68"/>
      <c r="AW1028" s="68"/>
      <c r="AX1028" s="68"/>
      <c r="AY1028" s="68"/>
    </row>
    <row r="1029" spans="1:51" ht="12.95" customHeight="1">
      <c r="A1029" s="14"/>
      <c r="B1029" s="73"/>
      <c r="C1029" s="74"/>
      <c r="D1029" s="1738" t="s">
        <v>1405</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3"/>
      <c r="AG1029" s="14"/>
      <c r="AH1029" s="14"/>
      <c r="AI1029" s="83"/>
      <c r="AJ1029" s="1774"/>
      <c r="AK1029" s="1775"/>
      <c r="AL1029" s="1775"/>
      <c r="AM1029" s="1775"/>
      <c r="AN1029" s="1775"/>
      <c r="AO1029" s="1775"/>
      <c r="AP1029" s="1775"/>
      <c r="AQ1029" s="1776"/>
      <c r="AR1029" s="68"/>
      <c r="AS1029" s="68"/>
      <c r="AT1029" s="68"/>
      <c r="AU1029" s="68"/>
      <c r="AV1029" s="68"/>
      <c r="AW1029" s="68"/>
      <c r="AX1029" s="68"/>
      <c r="AY1029" s="68"/>
    </row>
    <row r="1030" spans="1:51" ht="12.95" customHeight="1">
      <c r="A1030" s="14"/>
      <c r="B1030" s="77"/>
      <c r="C1030" s="74"/>
      <c r="D1030" s="1741"/>
      <c r="E1030" s="1742"/>
      <c r="F1030" s="1742"/>
      <c r="G1030" s="1742"/>
      <c r="H1030" s="1742"/>
      <c r="I1030" s="1742"/>
      <c r="J1030" s="1742"/>
      <c r="K1030" s="1742"/>
      <c r="L1030" s="1742"/>
      <c r="M1030" s="1742"/>
      <c r="N1030" s="1742"/>
      <c r="O1030" s="1742"/>
      <c r="P1030" s="1742"/>
      <c r="Q1030" s="1742"/>
      <c r="R1030" s="1742"/>
      <c r="S1030" s="1742"/>
      <c r="T1030" s="1742"/>
      <c r="U1030" s="1742"/>
      <c r="V1030" s="1742"/>
      <c r="W1030" s="1742"/>
      <c r="X1030" s="1742"/>
      <c r="Y1030" s="1742"/>
      <c r="Z1030" s="1742"/>
      <c r="AA1030" s="1742"/>
      <c r="AB1030" s="1742"/>
      <c r="AC1030" s="1742"/>
      <c r="AD1030" s="1742"/>
      <c r="AE1030" s="1743"/>
      <c r="AF1030" s="73"/>
      <c r="AG1030" s="14"/>
      <c r="AH1030" s="14"/>
      <c r="AI1030" s="83"/>
      <c r="AJ1030" s="1777"/>
      <c r="AK1030" s="1778"/>
      <c r="AL1030" s="1778"/>
      <c r="AM1030" s="1778"/>
      <c r="AN1030" s="1778"/>
      <c r="AO1030" s="1778"/>
      <c r="AP1030" s="1778"/>
      <c r="AQ1030" s="1779"/>
      <c r="AR1030" s="68"/>
      <c r="AS1030" s="68"/>
      <c r="AT1030" s="68"/>
      <c r="AU1030" s="68"/>
      <c r="AV1030" s="68"/>
      <c r="AW1030" s="68"/>
      <c r="AX1030" s="68"/>
      <c r="AY1030" s="68"/>
    </row>
    <row r="1031" spans="1:51" ht="12.95" customHeight="1">
      <c r="A1031" s="14"/>
      <c r="B1031" s="73"/>
      <c r="C1031" s="367" t="s">
        <v>696</v>
      </c>
      <c r="D1031" s="1760" t="s">
        <v>1870</v>
      </c>
      <c r="E1031" s="1761"/>
      <c r="F1031" s="1761"/>
      <c r="G1031" s="1761"/>
      <c r="H1031" s="1761"/>
      <c r="I1031" s="1761"/>
      <c r="J1031" s="1761"/>
      <c r="K1031" s="1761"/>
      <c r="L1031" s="1761"/>
      <c r="M1031" s="1761"/>
      <c r="N1031" s="1761"/>
      <c r="O1031" s="1761"/>
      <c r="P1031" s="1761"/>
      <c r="Q1031" s="1761"/>
      <c r="R1031" s="1761"/>
      <c r="S1031" s="1761"/>
      <c r="T1031" s="1761"/>
      <c r="U1031" s="1761"/>
      <c r="V1031" s="1761"/>
      <c r="W1031" s="1761"/>
      <c r="X1031" s="1761"/>
      <c r="Y1031" s="1761"/>
      <c r="Z1031" s="1761"/>
      <c r="AA1031" s="1761"/>
      <c r="AB1031" s="1761"/>
      <c r="AC1031" s="1761"/>
      <c r="AD1031" s="1761"/>
      <c r="AE1031" s="1762"/>
      <c r="AF1031" s="79"/>
      <c r="AG1031" s="1734" t="s">
        <v>677</v>
      </c>
      <c r="AH1031" s="1735"/>
      <c r="AI1031" s="87"/>
      <c r="AJ1031" s="1771">
        <f>ROUND(IF(AG1031="yes",(AJ991*0.15),0),0)</f>
        <v>0</v>
      </c>
      <c r="AK1031" s="1772"/>
      <c r="AL1031" s="1772"/>
      <c r="AM1031" s="1772"/>
      <c r="AN1031" s="1772"/>
      <c r="AO1031" s="1772"/>
      <c r="AP1031" s="1772"/>
      <c r="AQ1031" s="1773"/>
      <c r="AR1031" s="68"/>
      <c r="AS1031" s="68"/>
      <c r="AT1031" s="68"/>
      <c r="AU1031" s="68"/>
      <c r="AV1031" s="68"/>
      <c r="AW1031" s="68"/>
      <c r="AX1031" s="68"/>
      <c r="AY1031" s="68"/>
    </row>
    <row r="1032" spans="1:51" ht="12.95" customHeight="1">
      <c r="A1032" s="14"/>
      <c r="B1032" s="73"/>
      <c r="C1032" s="74"/>
      <c r="D1032" s="1763" t="s">
        <v>1871</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64"/>
      <c r="AF1032" s="950"/>
      <c r="AG1032" s="951"/>
      <c r="AH1032" s="951"/>
      <c r="AI1032" s="952"/>
      <c r="AJ1032" s="1774"/>
      <c r="AK1032" s="1775"/>
      <c r="AL1032" s="1775"/>
      <c r="AM1032" s="1775"/>
      <c r="AN1032" s="1775"/>
      <c r="AO1032" s="1775"/>
      <c r="AP1032" s="1775"/>
      <c r="AQ1032" s="1776"/>
      <c r="AR1032" s="68"/>
      <c r="AS1032" s="68"/>
      <c r="AT1032" s="68"/>
      <c r="AU1032" s="68"/>
      <c r="AV1032" s="68"/>
      <c r="AW1032" s="68"/>
      <c r="AX1032" s="68"/>
      <c r="AY1032" s="68"/>
    </row>
    <row r="1033" spans="1:51" ht="12.95" customHeight="1">
      <c r="A1033" s="14"/>
      <c r="B1033" s="73"/>
      <c r="C1033" s="74"/>
      <c r="D1033" s="176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64"/>
      <c r="AF1033" s="950"/>
      <c r="AG1033" s="951"/>
      <c r="AH1033" s="951"/>
      <c r="AI1033" s="952"/>
      <c r="AJ1033" s="1774"/>
      <c r="AK1033" s="1775"/>
      <c r="AL1033" s="1775"/>
      <c r="AM1033" s="1775"/>
      <c r="AN1033" s="1775"/>
      <c r="AO1033" s="1775"/>
      <c r="AP1033" s="1775"/>
      <c r="AQ1033" s="1776"/>
      <c r="AR1033" s="68"/>
      <c r="AS1033" s="68"/>
      <c r="AT1033" s="68"/>
      <c r="AU1033" s="68"/>
      <c r="AV1033" s="68"/>
      <c r="AW1033" s="68"/>
      <c r="AX1033" s="68"/>
      <c r="AY1033" s="68"/>
    </row>
    <row r="1034" spans="1:51" ht="12.95" customHeight="1">
      <c r="A1034" s="14"/>
      <c r="B1034" s="73"/>
      <c r="C1034" s="74"/>
      <c r="D1034" s="1765"/>
      <c r="E1034" s="1766"/>
      <c r="F1034" s="1766"/>
      <c r="G1034" s="1766"/>
      <c r="H1034" s="1766"/>
      <c r="I1034" s="1766"/>
      <c r="J1034" s="1766"/>
      <c r="K1034" s="1766"/>
      <c r="L1034" s="1766"/>
      <c r="M1034" s="1766"/>
      <c r="N1034" s="1766"/>
      <c r="O1034" s="1766"/>
      <c r="P1034" s="1766"/>
      <c r="Q1034" s="1766"/>
      <c r="R1034" s="1766"/>
      <c r="S1034" s="1766"/>
      <c r="T1034" s="1766"/>
      <c r="U1034" s="1766"/>
      <c r="V1034" s="1766"/>
      <c r="W1034" s="1766"/>
      <c r="X1034" s="1766"/>
      <c r="Y1034" s="1766"/>
      <c r="Z1034" s="1766"/>
      <c r="AA1034" s="1766"/>
      <c r="AB1034" s="1766"/>
      <c r="AC1034" s="1766"/>
      <c r="AD1034" s="1766"/>
      <c r="AE1034" s="1767"/>
      <c r="AF1034" s="953"/>
      <c r="AG1034" s="954"/>
      <c r="AH1034" s="954"/>
      <c r="AI1034" s="955"/>
      <c r="AJ1034" s="1777"/>
      <c r="AK1034" s="1778"/>
      <c r="AL1034" s="1778"/>
      <c r="AM1034" s="1778"/>
      <c r="AN1034" s="1778"/>
      <c r="AO1034" s="1778"/>
      <c r="AP1034" s="1778"/>
      <c r="AQ1034" s="1779"/>
      <c r="AR1034" s="68"/>
      <c r="AS1034" s="68"/>
      <c r="AT1034" s="68"/>
      <c r="AU1034" s="68"/>
      <c r="AV1034" s="68"/>
      <c r="AW1034" s="68"/>
      <c r="AX1034" s="68"/>
      <c r="AY1034" s="68"/>
    </row>
    <row r="1035" spans="1:51" ht="12.95" customHeight="1">
      <c r="A1035" s="14"/>
      <c r="B1035" s="73"/>
      <c r="C1035" s="367" t="s">
        <v>696</v>
      </c>
      <c r="D1035" s="1783" t="s">
        <v>1872</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736" t="s">
        <v>553</v>
      </c>
      <c r="AH1035" s="1737"/>
      <c r="AI1035" s="83"/>
      <c r="AJ1035" s="1771">
        <f>ROUND(IF(AND(AG1035="yes",AJ1031=0),(AJ991*0.1),0),0)</f>
        <v>9631458</v>
      </c>
      <c r="AK1035" s="1772"/>
      <c r="AL1035" s="1772"/>
      <c r="AM1035" s="1772"/>
      <c r="AN1035" s="1772"/>
      <c r="AO1035" s="1772"/>
      <c r="AP1035" s="1772"/>
      <c r="AQ1035" s="1773"/>
      <c r="AR1035" s="68"/>
      <c r="AS1035" s="68"/>
      <c r="AT1035" s="68"/>
      <c r="AU1035" s="68"/>
      <c r="AV1035" s="68"/>
      <c r="AW1035" s="68"/>
      <c r="AX1035" s="68"/>
      <c r="AY1035" s="68"/>
    </row>
    <row r="1036" spans="1:51" ht="12.95" customHeight="1">
      <c r="A1036" s="14"/>
      <c r="B1036" s="73"/>
      <c r="C1036" s="74"/>
      <c r="D1036" s="1763" t="s">
        <v>1873</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64"/>
      <c r="AF1036" s="73"/>
      <c r="AG1036" s="14"/>
      <c r="AH1036" s="14"/>
      <c r="AI1036" s="83"/>
      <c r="AJ1036" s="1774"/>
      <c r="AK1036" s="1775"/>
      <c r="AL1036" s="1775"/>
      <c r="AM1036" s="1775"/>
      <c r="AN1036" s="1775"/>
      <c r="AO1036" s="1775"/>
      <c r="AP1036" s="1775"/>
      <c r="AQ1036" s="1776"/>
      <c r="AR1036" s="68"/>
      <c r="AS1036" s="68"/>
      <c r="AT1036" s="68"/>
      <c r="AU1036" s="68"/>
      <c r="AV1036" s="68"/>
      <c r="AW1036" s="68"/>
      <c r="AX1036" s="68"/>
      <c r="AY1036" s="68"/>
    </row>
    <row r="1037" spans="1:51" ht="12.95" customHeight="1">
      <c r="A1037" s="14"/>
      <c r="B1037" s="73"/>
      <c r="C1037" s="74"/>
      <c r="D1037" s="176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64"/>
      <c r="AF1037" s="73"/>
      <c r="AG1037" s="14"/>
      <c r="AH1037" s="14"/>
      <c r="AI1037" s="83"/>
      <c r="AJ1037" s="1774"/>
      <c r="AK1037" s="1775"/>
      <c r="AL1037" s="1775"/>
      <c r="AM1037" s="1775"/>
      <c r="AN1037" s="1775"/>
      <c r="AO1037" s="1775"/>
      <c r="AP1037" s="1775"/>
      <c r="AQ1037" s="1776"/>
      <c r="AR1037" s="68"/>
      <c r="AS1037" s="68"/>
      <c r="AT1037" s="68"/>
      <c r="AU1037" s="68"/>
      <c r="AV1037" s="68"/>
      <c r="AW1037" s="68"/>
      <c r="AX1037" s="68"/>
      <c r="AY1037" s="68"/>
    </row>
    <row r="1038" spans="1:51" ht="12.95" customHeight="1">
      <c r="A1038" s="14"/>
      <c r="B1038" s="73"/>
      <c r="C1038" s="74"/>
      <c r="D1038" s="176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64"/>
      <c r="AF1038" s="73"/>
      <c r="AG1038" s="14"/>
      <c r="AH1038" s="14"/>
      <c r="AI1038" s="83"/>
      <c r="AJ1038" s="1774"/>
      <c r="AK1038" s="1775"/>
      <c r="AL1038" s="1775"/>
      <c r="AM1038" s="1775"/>
      <c r="AN1038" s="1775"/>
      <c r="AO1038" s="1775"/>
      <c r="AP1038" s="1775"/>
      <c r="AQ1038" s="1776"/>
      <c r="AR1038" s="68"/>
      <c r="AS1038" s="68"/>
      <c r="AT1038" s="68"/>
      <c r="AU1038" s="68"/>
      <c r="AV1038" s="68"/>
      <c r="AW1038" s="68"/>
      <c r="AX1038" s="68"/>
      <c r="AY1038" s="68"/>
    </row>
    <row r="1039" spans="1:51" ht="12.95" customHeight="1">
      <c r="A1039" s="14"/>
      <c r="B1039" s="73"/>
      <c r="C1039" s="74"/>
      <c r="D1039" s="1765"/>
      <c r="E1039" s="1766"/>
      <c r="F1039" s="1766"/>
      <c r="G1039" s="1766"/>
      <c r="H1039" s="1766"/>
      <c r="I1039" s="1766"/>
      <c r="J1039" s="1766"/>
      <c r="K1039" s="1766"/>
      <c r="L1039" s="1766"/>
      <c r="M1039" s="1766"/>
      <c r="N1039" s="1766"/>
      <c r="O1039" s="1766"/>
      <c r="P1039" s="1766"/>
      <c r="Q1039" s="1766"/>
      <c r="R1039" s="1766"/>
      <c r="S1039" s="1766"/>
      <c r="T1039" s="1766"/>
      <c r="U1039" s="1766"/>
      <c r="V1039" s="1766"/>
      <c r="W1039" s="1766"/>
      <c r="X1039" s="1766"/>
      <c r="Y1039" s="1766"/>
      <c r="Z1039" s="1766"/>
      <c r="AA1039" s="1766"/>
      <c r="AB1039" s="1766"/>
      <c r="AC1039" s="1766"/>
      <c r="AD1039" s="1766"/>
      <c r="AE1039" s="1767"/>
      <c r="AF1039" s="73"/>
      <c r="AG1039" s="14"/>
      <c r="AH1039" s="14"/>
      <c r="AI1039" s="83"/>
      <c r="AJ1039" s="1774"/>
      <c r="AK1039" s="1775"/>
      <c r="AL1039" s="1775"/>
      <c r="AM1039" s="1775"/>
      <c r="AN1039" s="1775"/>
      <c r="AO1039" s="1775"/>
      <c r="AP1039" s="1775"/>
      <c r="AQ1039" s="1776"/>
      <c r="AR1039" s="68"/>
      <c r="AS1039" s="68"/>
      <c r="AT1039" s="68"/>
      <c r="AU1039" s="68"/>
      <c r="AV1039" s="68"/>
      <c r="AW1039" s="68"/>
      <c r="AX1039" s="68"/>
      <c r="AY1039" s="68"/>
    </row>
    <row r="1040" spans="1:51" ht="12.95" customHeight="1">
      <c r="A1040" s="14"/>
      <c r="B1040" s="79"/>
      <c r="C1040" s="131" t="s">
        <v>1032</v>
      </c>
      <c r="D1040" s="1760" t="s">
        <v>1406</v>
      </c>
      <c r="E1040" s="1761"/>
      <c r="F1040" s="1761"/>
      <c r="G1040" s="1761"/>
      <c r="H1040" s="1761"/>
      <c r="I1040" s="1761"/>
      <c r="J1040" s="1761"/>
      <c r="K1040" s="1761"/>
      <c r="L1040" s="1761"/>
      <c r="M1040" s="1761"/>
      <c r="N1040" s="1761"/>
      <c r="O1040" s="1761"/>
      <c r="P1040" s="1761"/>
      <c r="Q1040" s="1761"/>
      <c r="R1040" s="1761"/>
      <c r="S1040" s="1761"/>
      <c r="T1040" s="1761"/>
      <c r="U1040" s="1761"/>
      <c r="V1040" s="1761"/>
      <c r="W1040" s="1761"/>
      <c r="X1040" s="1761"/>
      <c r="Y1040" s="1761"/>
      <c r="Z1040" s="1761"/>
      <c r="AA1040" s="1761"/>
      <c r="AB1040" s="1761"/>
      <c r="AC1040" s="1761"/>
      <c r="AD1040" s="1761"/>
      <c r="AE1040" s="1762"/>
      <c r="AF1040" s="79"/>
      <c r="AG1040" s="1734" t="s">
        <v>677</v>
      </c>
      <c r="AH1040" s="1735"/>
      <c r="AI1040" s="87"/>
      <c r="AJ1040" s="1771">
        <f>ROUND(IF(AG1040="yes",(AJ991*0.1),0),0)</f>
        <v>0</v>
      </c>
      <c r="AK1040" s="1772"/>
      <c r="AL1040" s="1772"/>
      <c r="AM1040" s="1772"/>
      <c r="AN1040" s="1772"/>
      <c r="AO1040" s="1772"/>
      <c r="AP1040" s="1772"/>
      <c r="AQ1040" s="1773"/>
      <c r="AR1040" s="68"/>
      <c r="AS1040" s="68"/>
      <c r="AT1040" s="68"/>
      <c r="AU1040" s="68"/>
      <c r="AV1040" s="68"/>
      <c r="AW1040" s="68"/>
      <c r="AX1040" s="68"/>
      <c r="AY1040" s="68"/>
    </row>
    <row r="1041" spans="1:51" ht="12.95" customHeight="1">
      <c r="A1041" s="14"/>
      <c r="B1041" s="73"/>
      <c r="C1041" s="74"/>
      <c r="D1041" s="1738" t="s">
        <v>2493</v>
      </c>
      <c r="E1041" s="1739"/>
      <c r="F1041" s="1739"/>
      <c r="G1041" s="1739"/>
      <c r="H1041" s="1739"/>
      <c r="I1041" s="1739"/>
      <c r="J1041" s="1739"/>
      <c r="K1041" s="1739"/>
      <c r="L1041" s="1739"/>
      <c r="M1041" s="1739"/>
      <c r="N1041" s="1739"/>
      <c r="O1041" s="1739"/>
      <c r="P1041" s="1739"/>
      <c r="Q1041" s="1739"/>
      <c r="R1041" s="1739"/>
      <c r="S1041" s="1739"/>
      <c r="T1041" s="1739"/>
      <c r="U1041" s="1739"/>
      <c r="V1041" s="1739"/>
      <c r="W1041" s="1739"/>
      <c r="X1041" s="1739"/>
      <c r="Y1041" s="1739"/>
      <c r="Z1041" s="1739"/>
      <c r="AA1041" s="1739"/>
      <c r="AB1041" s="1739"/>
      <c r="AC1041" s="1739"/>
      <c r="AD1041" s="1739"/>
      <c r="AE1041" s="1740"/>
      <c r="AF1041" s="73"/>
      <c r="AG1041" s="14"/>
      <c r="AH1041" s="14"/>
      <c r="AI1041" s="83"/>
      <c r="AJ1041" s="1774"/>
      <c r="AK1041" s="1775"/>
      <c r="AL1041" s="1775"/>
      <c r="AM1041" s="1775"/>
      <c r="AN1041" s="1775"/>
      <c r="AO1041" s="1775"/>
      <c r="AP1041" s="1775"/>
      <c r="AQ1041" s="1776"/>
      <c r="AR1041" s="68"/>
      <c r="AS1041" s="68"/>
      <c r="AT1041" s="68"/>
      <c r="AU1041" s="68"/>
      <c r="AV1041" s="68"/>
      <c r="AW1041" s="68"/>
      <c r="AX1041" s="68"/>
      <c r="AY1041" s="68"/>
    </row>
    <row r="1042" spans="1:51" ht="12.95" customHeight="1">
      <c r="A1042" s="14"/>
      <c r="B1042" s="73"/>
      <c r="C1042" s="74"/>
      <c r="D1042" s="1738"/>
      <c r="E1042" s="1739"/>
      <c r="F1042" s="1739"/>
      <c r="G1042" s="1739"/>
      <c r="H1042" s="1739"/>
      <c r="I1042" s="1739"/>
      <c r="J1042" s="1739"/>
      <c r="K1042" s="1739"/>
      <c r="L1042" s="1739"/>
      <c r="M1042" s="1739"/>
      <c r="N1042" s="1739"/>
      <c r="O1042" s="1739"/>
      <c r="P1042" s="1739"/>
      <c r="Q1042" s="1739"/>
      <c r="R1042" s="1739"/>
      <c r="S1042" s="1739"/>
      <c r="T1042" s="1739"/>
      <c r="U1042" s="1739"/>
      <c r="V1042" s="1739"/>
      <c r="W1042" s="1739"/>
      <c r="X1042" s="1739"/>
      <c r="Y1042" s="1739"/>
      <c r="Z1042" s="1739"/>
      <c r="AA1042" s="1739"/>
      <c r="AB1042" s="1739"/>
      <c r="AC1042" s="1739"/>
      <c r="AD1042" s="1739"/>
      <c r="AE1042" s="1740"/>
      <c r="AF1042" s="73"/>
      <c r="AG1042" s="14"/>
      <c r="AH1042" s="14"/>
      <c r="AI1042" s="83"/>
      <c r="AJ1042" s="1774"/>
      <c r="AK1042" s="1775"/>
      <c r="AL1042" s="1775"/>
      <c r="AM1042" s="1775"/>
      <c r="AN1042" s="1775"/>
      <c r="AO1042" s="1775"/>
      <c r="AP1042" s="1775"/>
      <c r="AQ1042" s="1776"/>
      <c r="AR1042" s="68"/>
      <c r="AS1042" s="68"/>
      <c r="AT1042" s="68"/>
      <c r="AU1042" s="68"/>
      <c r="AV1042" s="68"/>
      <c r="AW1042" s="68"/>
      <c r="AX1042" s="68"/>
      <c r="AY1042" s="68"/>
    </row>
    <row r="1043" spans="1:51" ht="12.95" customHeight="1">
      <c r="A1043" s="14"/>
      <c r="B1043" s="73"/>
      <c r="C1043" s="74"/>
      <c r="D1043" s="1741"/>
      <c r="E1043" s="1742"/>
      <c r="F1043" s="1742"/>
      <c r="G1043" s="1742"/>
      <c r="H1043" s="1742"/>
      <c r="I1043" s="1742"/>
      <c r="J1043" s="1742"/>
      <c r="K1043" s="1742"/>
      <c r="L1043" s="1742"/>
      <c r="M1043" s="1742"/>
      <c r="N1043" s="1742"/>
      <c r="O1043" s="1742"/>
      <c r="P1043" s="1742"/>
      <c r="Q1043" s="1742"/>
      <c r="R1043" s="1742"/>
      <c r="S1043" s="1742"/>
      <c r="T1043" s="1742"/>
      <c r="U1043" s="1742"/>
      <c r="V1043" s="1742"/>
      <c r="W1043" s="1742"/>
      <c r="X1043" s="1742"/>
      <c r="Y1043" s="1742"/>
      <c r="Z1043" s="1742"/>
      <c r="AA1043" s="1742"/>
      <c r="AB1043" s="1742"/>
      <c r="AC1043" s="1742"/>
      <c r="AD1043" s="1742"/>
      <c r="AE1043" s="1743"/>
      <c r="AF1043" s="73"/>
      <c r="AG1043" s="14"/>
      <c r="AH1043" s="14"/>
      <c r="AI1043" s="83"/>
      <c r="AJ1043" s="1777"/>
      <c r="AK1043" s="1778"/>
      <c r="AL1043" s="1778"/>
      <c r="AM1043" s="1778"/>
      <c r="AN1043" s="1778"/>
      <c r="AO1043" s="1778"/>
      <c r="AP1043" s="1778"/>
      <c r="AQ1043" s="1779"/>
      <c r="AR1043" s="68"/>
      <c r="AS1043" s="68"/>
      <c r="AT1043" s="68"/>
      <c r="AU1043" s="68"/>
      <c r="AV1043" s="68"/>
      <c r="AW1043" s="68"/>
      <c r="AX1043" s="68"/>
      <c r="AY1043" s="68"/>
    </row>
    <row r="1044" spans="1:51" ht="12.95" customHeight="1">
      <c r="A1044" s="14"/>
      <c r="B1044" s="79"/>
      <c r="C1044" s="131" t="s">
        <v>1868</v>
      </c>
      <c r="D1044" s="1783" t="s">
        <v>2050</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732" t="str">
        <f>IF(X1047&gt;0,"Yes","No")</f>
        <v>Yes</v>
      </c>
      <c r="AH1044" s="1733"/>
      <c r="AI1044" s="87"/>
      <c r="AJ1044" s="1771">
        <f>IF((X1047=0),0,AY1004*AJ991)</f>
        <v>6742020.6000000006</v>
      </c>
      <c r="AK1044" s="1772"/>
      <c r="AL1044" s="1772"/>
      <c r="AM1044" s="1772"/>
      <c r="AN1044" s="1772"/>
      <c r="AO1044" s="1772"/>
      <c r="AP1044" s="1772"/>
      <c r="AQ1044" s="1773"/>
      <c r="AR1044" s="68"/>
      <c r="AS1044" s="68"/>
      <c r="AT1044" s="68"/>
      <c r="AU1044" s="68"/>
      <c r="AV1044" s="68"/>
      <c r="AW1044" s="68"/>
      <c r="AX1044" s="68"/>
      <c r="AY1044" s="68"/>
    </row>
    <row r="1045" spans="1:51" ht="12.95" customHeight="1">
      <c r="A1045" s="14"/>
      <c r="B1045" s="73"/>
      <c r="C1045" s="476"/>
      <c r="D1045" s="1738" t="s">
        <v>1408</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3"/>
      <c r="AG1045" s="477"/>
      <c r="AH1045" s="477"/>
      <c r="AI1045" s="83"/>
      <c r="AJ1045" s="1774"/>
      <c r="AK1045" s="1775"/>
      <c r="AL1045" s="1775"/>
      <c r="AM1045" s="1775"/>
      <c r="AN1045" s="1775"/>
      <c r="AO1045" s="1775"/>
      <c r="AP1045" s="1775"/>
      <c r="AQ1045" s="1776"/>
      <c r="AR1045" s="68"/>
      <c r="AS1045" s="68"/>
      <c r="AT1045" s="68"/>
      <c r="AU1045" s="13"/>
      <c r="AV1045" s="68"/>
      <c r="AW1045" s="68"/>
      <c r="AX1045" s="68"/>
      <c r="AY1045" s="68"/>
    </row>
    <row r="1046" spans="1:51" ht="12.95" customHeight="1">
      <c r="A1046" s="14"/>
      <c r="B1046" s="73"/>
      <c r="C1046" s="476"/>
      <c r="D1046" s="1738"/>
      <c r="E1046" s="1739"/>
      <c r="F1046" s="1739"/>
      <c r="G1046" s="1739"/>
      <c r="H1046" s="1739"/>
      <c r="I1046" s="1739"/>
      <c r="J1046" s="1739"/>
      <c r="K1046" s="1739"/>
      <c r="L1046" s="1739"/>
      <c r="M1046" s="1739"/>
      <c r="N1046" s="1739"/>
      <c r="O1046" s="1739"/>
      <c r="P1046" s="1739"/>
      <c r="Q1046" s="1739"/>
      <c r="R1046" s="1739"/>
      <c r="S1046" s="1739"/>
      <c r="T1046" s="1739"/>
      <c r="U1046" s="1739"/>
      <c r="V1046" s="1739"/>
      <c r="W1046" s="1739"/>
      <c r="X1046" s="1739"/>
      <c r="Y1046" s="1739"/>
      <c r="Z1046" s="1739"/>
      <c r="AA1046" s="1739"/>
      <c r="AB1046" s="1739"/>
      <c r="AC1046" s="1739"/>
      <c r="AD1046" s="1739"/>
      <c r="AE1046" s="1740"/>
      <c r="AF1046" s="73"/>
      <c r="AG1046" s="477"/>
      <c r="AH1046" s="477"/>
      <c r="AI1046" s="83"/>
      <c r="AJ1046" s="1774"/>
      <c r="AK1046" s="1775"/>
      <c r="AL1046" s="1775"/>
      <c r="AM1046" s="1775"/>
      <c r="AN1046" s="1775"/>
      <c r="AO1046" s="1775"/>
      <c r="AP1046" s="1775"/>
      <c r="AQ1046" s="1776"/>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730">
        <f>AY1002</f>
        <v>158</v>
      </c>
      <c r="J1047" s="1731"/>
      <c r="K1047" s="7"/>
      <c r="L1047" s="133"/>
      <c r="M1047" s="133"/>
      <c r="N1047" s="133"/>
      <c r="O1047" s="133"/>
      <c r="P1047" s="133"/>
      <c r="Q1047" s="133"/>
      <c r="R1047" s="133"/>
      <c r="S1047" s="133"/>
      <c r="T1047" s="133"/>
      <c r="U1047" s="133"/>
      <c r="V1047" s="134" t="s">
        <v>990</v>
      </c>
      <c r="W1047" s="48"/>
      <c r="X1047" s="1728">
        <f>BG632</f>
        <v>12</v>
      </c>
      <c r="Y1047" s="1729"/>
      <c r="Z1047" s="48"/>
      <c r="AA1047" s="48"/>
      <c r="AB1047" s="48"/>
      <c r="AC1047" s="48"/>
      <c r="AD1047" s="48"/>
      <c r="AE1047" s="49"/>
      <c r="AF1047" s="959"/>
      <c r="AG1047" s="960"/>
      <c r="AH1047" s="960"/>
      <c r="AI1047" s="961"/>
      <c r="AJ1047" s="1777"/>
      <c r="AK1047" s="1778"/>
      <c r="AL1047" s="1778"/>
      <c r="AM1047" s="1778"/>
      <c r="AN1047" s="1778"/>
      <c r="AO1047" s="1778"/>
      <c r="AP1047" s="1778"/>
      <c r="AQ1047" s="1779"/>
      <c r="AR1047" s="68"/>
      <c r="AS1047" s="68"/>
      <c r="AT1047" s="68"/>
      <c r="AU1047" s="14"/>
      <c r="AV1047" s="68"/>
      <c r="AW1047" s="68"/>
      <c r="AX1047" s="68"/>
      <c r="AY1047" s="68"/>
    </row>
    <row r="1048" spans="1:51" ht="12.95" customHeight="1">
      <c r="A1048" s="14"/>
      <c r="B1048" s="79"/>
      <c r="C1048" s="131" t="s">
        <v>1869</v>
      </c>
      <c r="D1048" s="1760" t="s">
        <v>2524</v>
      </c>
      <c r="E1048" s="1761"/>
      <c r="F1048" s="1761"/>
      <c r="G1048" s="1761"/>
      <c r="H1048" s="1761"/>
      <c r="I1048" s="1761"/>
      <c r="J1048" s="1761"/>
      <c r="K1048" s="1761"/>
      <c r="L1048" s="1761"/>
      <c r="M1048" s="1761"/>
      <c r="N1048" s="1761"/>
      <c r="O1048" s="1761"/>
      <c r="P1048" s="1761"/>
      <c r="Q1048" s="1761"/>
      <c r="R1048" s="1761"/>
      <c r="S1048" s="1761"/>
      <c r="T1048" s="1761"/>
      <c r="U1048" s="1761"/>
      <c r="V1048" s="1761"/>
      <c r="W1048" s="1761"/>
      <c r="X1048" s="1761"/>
      <c r="Y1048" s="1761"/>
      <c r="Z1048" s="1761"/>
      <c r="AA1048" s="1761"/>
      <c r="AB1048" s="1761"/>
      <c r="AC1048" s="1761"/>
      <c r="AD1048" s="1761"/>
      <c r="AE1048" s="1762"/>
      <c r="AF1048" s="73"/>
      <c r="AG1048" s="1732" t="str">
        <f>IF(X1051&gt;0,"Yes","No")</f>
        <v>Yes</v>
      </c>
      <c r="AH1048" s="1733"/>
      <c r="AI1048" s="83"/>
      <c r="AJ1048" s="1771">
        <f>IF((X1051=0),0,(2*AY1005)*AJ991)</f>
        <v>48157290</v>
      </c>
      <c r="AK1048" s="1772"/>
      <c r="AL1048" s="1772"/>
      <c r="AM1048" s="1772"/>
      <c r="AN1048" s="1772"/>
      <c r="AO1048" s="1772"/>
      <c r="AP1048" s="1772"/>
      <c r="AQ1048" s="1773"/>
      <c r="AR1048" s="68"/>
      <c r="AS1048" s="68"/>
      <c r="AT1048" s="68"/>
      <c r="AU1048" s="14"/>
      <c r="AV1048" s="68"/>
      <c r="AW1048" s="68"/>
      <c r="AX1048" s="68"/>
      <c r="AY1048" s="68"/>
    </row>
    <row r="1049" spans="1:51" ht="12.95" customHeight="1">
      <c r="A1049" s="14"/>
      <c r="B1049" s="73"/>
      <c r="C1049" s="476"/>
      <c r="D1049" s="1738" t="s">
        <v>1407</v>
      </c>
      <c r="E1049" s="1739"/>
      <c r="F1049" s="1739"/>
      <c r="G1049" s="1739"/>
      <c r="H1049" s="1739"/>
      <c r="I1049" s="1739"/>
      <c r="J1049" s="1739"/>
      <c r="K1049" s="1739"/>
      <c r="L1049" s="1739"/>
      <c r="M1049" s="1739"/>
      <c r="N1049" s="1739"/>
      <c r="O1049" s="1739"/>
      <c r="P1049" s="1739"/>
      <c r="Q1049" s="1739"/>
      <c r="R1049" s="1739"/>
      <c r="S1049" s="1739"/>
      <c r="T1049" s="1739"/>
      <c r="U1049" s="1739"/>
      <c r="V1049" s="1739"/>
      <c r="W1049" s="1739"/>
      <c r="X1049" s="1739"/>
      <c r="Y1049" s="1739"/>
      <c r="Z1049" s="1739"/>
      <c r="AA1049" s="1739"/>
      <c r="AB1049" s="1739"/>
      <c r="AC1049" s="1739"/>
      <c r="AD1049" s="1739"/>
      <c r="AE1049" s="1740"/>
      <c r="AF1049" s="73"/>
      <c r="AG1049" s="477"/>
      <c r="AH1049" s="477"/>
      <c r="AI1049" s="83"/>
      <c r="AJ1049" s="1774"/>
      <c r="AK1049" s="1775"/>
      <c r="AL1049" s="1775"/>
      <c r="AM1049" s="1775"/>
      <c r="AN1049" s="1775"/>
      <c r="AO1049" s="1775"/>
      <c r="AP1049" s="1775"/>
      <c r="AQ1049" s="1776"/>
      <c r="AR1049" s="68"/>
      <c r="AS1049" s="68"/>
      <c r="AT1049" s="68"/>
      <c r="AU1049" s="68"/>
      <c r="AV1049" s="68"/>
      <c r="AW1049" s="68"/>
      <c r="AX1049" s="68"/>
      <c r="AY1049" s="68"/>
    </row>
    <row r="1050" spans="1:51" ht="12.95" customHeight="1">
      <c r="A1050" s="14"/>
      <c r="B1050" s="73"/>
      <c r="C1050" s="83"/>
      <c r="D1050" s="1738"/>
      <c r="E1050" s="1739"/>
      <c r="F1050" s="1739"/>
      <c r="G1050" s="1739"/>
      <c r="H1050" s="1739"/>
      <c r="I1050" s="1739"/>
      <c r="J1050" s="1739"/>
      <c r="K1050" s="1739"/>
      <c r="L1050" s="1739"/>
      <c r="M1050" s="1739"/>
      <c r="N1050" s="1739"/>
      <c r="O1050" s="1739"/>
      <c r="P1050" s="1739"/>
      <c r="Q1050" s="1739"/>
      <c r="R1050" s="1739"/>
      <c r="S1050" s="1739"/>
      <c r="T1050" s="1739"/>
      <c r="U1050" s="1739"/>
      <c r="V1050" s="1739"/>
      <c r="W1050" s="1739"/>
      <c r="X1050" s="1739"/>
      <c r="Y1050" s="1739"/>
      <c r="Z1050" s="1739"/>
      <c r="AA1050" s="1739"/>
      <c r="AB1050" s="1739"/>
      <c r="AC1050" s="1739"/>
      <c r="AD1050" s="1739"/>
      <c r="AE1050" s="1740"/>
      <c r="AF1050" s="956"/>
      <c r="AG1050" s="957"/>
      <c r="AH1050" s="957"/>
      <c r="AI1050" s="958"/>
      <c r="AJ1050" s="1774"/>
      <c r="AK1050" s="1775"/>
      <c r="AL1050" s="1775"/>
      <c r="AM1050" s="1775"/>
      <c r="AN1050" s="1775"/>
      <c r="AO1050" s="1775"/>
      <c r="AP1050" s="1775"/>
      <c r="AQ1050" s="1776"/>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730">
        <f>AY1002</f>
        <v>158</v>
      </c>
      <c r="J1051" s="1731"/>
      <c r="K1051" s="14"/>
      <c r="L1051" s="133"/>
      <c r="M1051" s="133"/>
      <c r="N1051" s="133"/>
      <c r="O1051" s="133"/>
      <c r="P1051" s="133"/>
      <c r="Q1051" s="133"/>
      <c r="R1051" s="133"/>
      <c r="S1051" s="133"/>
      <c r="T1051" s="133"/>
      <c r="U1051" s="133"/>
      <c r="V1051" s="134" t="s">
        <v>991</v>
      </c>
      <c r="X1051" s="1728">
        <f>BK632</f>
        <v>40</v>
      </c>
      <c r="Y1051" s="1729"/>
      <c r="AF1051" s="959"/>
      <c r="AG1051" s="960"/>
      <c r="AH1051" s="960"/>
      <c r="AI1051" s="961"/>
      <c r="AJ1051" s="1777"/>
      <c r="AK1051" s="1778"/>
      <c r="AL1051" s="1778"/>
      <c r="AM1051" s="1778"/>
      <c r="AN1051" s="1778"/>
      <c r="AO1051" s="1778"/>
      <c r="AP1051" s="1778"/>
      <c r="AQ1051" s="1779"/>
      <c r="AR1051" s="68"/>
      <c r="AS1051" s="68"/>
      <c r="AT1051" s="68"/>
      <c r="AU1051" s="68"/>
      <c r="AV1051" s="68"/>
      <c r="AW1051" s="68"/>
      <c r="AX1051" s="68"/>
      <c r="AY1051" s="68"/>
    </row>
    <row r="1052" spans="1:51" ht="12.95" customHeight="1">
      <c r="A1052" s="14"/>
      <c r="B1052" s="102"/>
      <c r="C1052" s="103"/>
      <c r="D1052" s="1645" t="s">
        <v>521</v>
      </c>
      <c r="E1052" s="1645"/>
      <c r="F1052" s="1645"/>
      <c r="G1052" s="1645"/>
      <c r="H1052" s="1645"/>
      <c r="I1052" s="1645"/>
      <c r="J1052" s="1645"/>
      <c r="K1052" s="1645"/>
      <c r="L1052" s="1645"/>
      <c r="M1052" s="1645"/>
      <c r="N1052" s="1645"/>
      <c r="O1052" s="1645"/>
      <c r="P1052" s="1645"/>
      <c r="Q1052" s="1645"/>
      <c r="R1052" s="1645"/>
      <c r="S1052" s="1645"/>
      <c r="T1052" s="1645"/>
      <c r="U1052" s="1645"/>
      <c r="V1052" s="1645"/>
      <c r="W1052" s="1645"/>
      <c r="X1052" s="1645"/>
      <c r="Y1052" s="1645"/>
      <c r="Z1052" s="1645"/>
      <c r="AA1052" s="1645"/>
      <c r="AB1052" s="1645"/>
      <c r="AC1052" s="1645"/>
      <c r="AD1052" s="1645"/>
      <c r="AE1052" s="1645"/>
      <c r="AF1052" s="1645"/>
      <c r="AG1052" s="1645"/>
      <c r="AH1052" s="1645"/>
      <c r="AI1052" s="1646"/>
      <c r="AJ1052" s="1768">
        <f>SUM(AJ991:AQ1051)</f>
        <v>180108264.59999999</v>
      </c>
      <c r="AK1052" s="1769"/>
      <c r="AL1052" s="1769"/>
      <c r="AM1052" s="1769"/>
      <c r="AN1052" s="1769"/>
      <c r="AO1052" s="1769"/>
      <c r="AP1052" s="1769"/>
      <c r="AQ1052" s="177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6">
        <f>IF(ISNA(IF((AJ1019&gt;(AJ991*0.15)),"(f) cannot be greater than 15% of unadjusted eligible basis.",0)),"",(IF((AJ1019&gt;(AJ991*0.15)),"(f) cannot be greater than 15% of unadjusted eligible basis.",0)))</f>
        <v>0</v>
      </c>
      <c r="C1059" s="1856"/>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1856"/>
      <c r="AP1059" s="1856"/>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6" t="s">
        <v>599</v>
      </c>
      <c r="B1064" s="1366"/>
      <c r="C1064" s="8">
        <v>1</v>
      </c>
      <c r="D1064" s="1264" t="s">
        <v>1131</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66" t="s">
        <v>599</v>
      </c>
      <c r="B1070" s="1366"/>
      <c r="C1070" s="8">
        <v>2</v>
      </c>
      <c r="D1070" s="1264" t="s">
        <v>1130</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66" t="s">
        <v>599</v>
      </c>
      <c r="B1076" s="1366"/>
      <c r="C1076" s="8">
        <v>3</v>
      </c>
      <c r="D1076" s="1264" t="s">
        <v>2447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66" t="s">
        <v>599</v>
      </c>
      <c r="B1083" s="1366"/>
      <c r="C1083" s="8">
        <v>4</v>
      </c>
      <c r="D1083" s="1264" t="s">
        <v>1116</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66" t="s">
        <v>599</v>
      </c>
      <c r="B1086" s="1366"/>
      <c r="C1086" s="8">
        <v>5</v>
      </c>
      <c r="D1086" s="1264" t="s">
        <v>2448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66" t="s">
        <v>599</v>
      </c>
      <c r="B1091" s="1366"/>
      <c r="C1091" s="8">
        <v>6</v>
      </c>
      <c r="D1091" s="1264" t="s">
        <v>1117</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66" t="s">
        <v>599</v>
      </c>
      <c r="B1094" s="1366"/>
      <c r="C1094" s="212">
        <v>7</v>
      </c>
      <c r="D1094" s="1264" t="s">
        <v>1119</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66" t="s">
        <v>599</v>
      </c>
      <c r="B1098" s="1366"/>
      <c r="C1098" s="212">
        <v>8</v>
      </c>
      <c r="D1098" s="1348" t="s">
        <v>1866</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66" t="s">
        <v>599</v>
      </c>
      <c r="B1103" s="1366"/>
      <c r="C1103" s="212">
        <v>9</v>
      </c>
      <c r="D1103" s="1264" t="s">
        <v>1118</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C894:AB894"/>
    <mergeCell ref="AG832:AJ832"/>
    <mergeCell ref="W844:AC844"/>
    <mergeCell ref="AC832:AF832"/>
    <mergeCell ref="Z898:AE898"/>
    <mergeCell ref="W872:AC872"/>
    <mergeCell ref="AC884:AH884"/>
    <mergeCell ref="AJ1012:AQ1014"/>
    <mergeCell ref="AJ1015:AQ1018"/>
    <mergeCell ref="AJ1024:AQ1027"/>
    <mergeCell ref="AJ1028:AQ1030"/>
    <mergeCell ref="B742:F742"/>
    <mergeCell ref="B743:F743"/>
    <mergeCell ref="B744:F744"/>
    <mergeCell ref="B745:F745"/>
    <mergeCell ref="AC745:AG745"/>
    <mergeCell ref="AC746:AG746"/>
    <mergeCell ref="AC747:AG747"/>
    <mergeCell ref="K748:N748"/>
    <mergeCell ref="O748:S748"/>
    <mergeCell ref="AC825:AF825"/>
    <mergeCell ref="AG827:AJ827"/>
    <mergeCell ref="M826:P826"/>
    <mergeCell ref="X789:AB789"/>
    <mergeCell ref="X790:AB790"/>
    <mergeCell ref="X791:AB791"/>
    <mergeCell ref="U831:X831"/>
    <mergeCell ref="Q831:T831"/>
    <mergeCell ref="C828:H828"/>
    <mergeCell ref="M828:P828"/>
    <mergeCell ref="F831:L831"/>
    <mergeCell ref="Y826:AB826"/>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AC748:AG748"/>
    <mergeCell ref="AC749:AG749"/>
    <mergeCell ref="AC750:AG750"/>
    <mergeCell ref="AC751:AG751"/>
    <mergeCell ref="T747:W747"/>
    <mergeCell ref="X751:AB751"/>
    <mergeCell ref="K740:N740"/>
    <mergeCell ref="K734:N734"/>
    <mergeCell ref="K735:N735"/>
    <mergeCell ref="K736:N736"/>
    <mergeCell ref="AC734:AG734"/>
    <mergeCell ref="AC735:AG735"/>
    <mergeCell ref="M632:P632"/>
    <mergeCell ref="AK730:AO730"/>
    <mergeCell ref="AK736:AO736"/>
    <mergeCell ref="AH732:AJ732"/>
    <mergeCell ref="T735:W735"/>
    <mergeCell ref="G677:R677"/>
    <mergeCell ref="Z678:AK678"/>
    <mergeCell ref="G685:R685"/>
    <mergeCell ref="N665:O665"/>
    <mergeCell ref="H672:R672"/>
    <mergeCell ref="G676:R676"/>
    <mergeCell ref="AH736:AJ736"/>
    <mergeCell ref="AH735:AJ735"/>
    <mergeCell ref="X734:AB734"/>
    <mergeCell ref="X733:AB733"/>
    <mergeCell ref="AK720:AO720"/>
    <mergeCell ref="AK721:AO721"/>
    <mergeCell ref="T742:W742"/>
    <mergeCell ref="AK734:AO734"/>
    <mergeCell ref="X732:AB732"/>
    <mergeCell ref="AK735:AO735"/>
    <mergeCell ref="AK725:AO725"/>
    <mergeCell ref="AK728:AO728"/>
    <mergeCell ref="AK729:AO72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D994:AE997"/>
    <mergeCell ref="D998:AE998"/>
    <mergeCell ref="D987:Q987"/>
    <mergeCell ref="D988:Q988"/>
    <mergeCell ref="B1059:AP1059"/>
    <mergeCell ref="C798:AN799"/>
    <mergeCell ref="T748:W748"/>
    <mergeCell ref="K749:N749"/>
    <mergeCell ref="O749:S749"/>
    <mergeCell ref="AK740:AO740"/>
    <mergeCell ref="AK741:AO741"/>
    <mergeCell ref="AK752:AO752"/>
    <mergeCell ref="AH737:AJ737"/>
    <mergeCell ref="AH738:AJ73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M26:Q26"/>
    <mergeCell ref="H16:AJ16"/>
    <mergeCell ref="A21:AL21"/>
    <mergeCell ref="R705:T705"/>
    <mergeCell ref="W703:AK703"/>
    <mergeCell ref="G678:R678"/>
    <mergeCell ref="O725:S725"/>
    <mergeCell ref="O726:S726"/>
    <mergeCell ref="P679:R679"/>
    <mergeCell ref="S405:AJ405"/>
    <mergeCell ref="AC539:AF539"/>
    <mergeCell ref="F457:AB458"/>
    <mergeCell ref="H582:R582"/>
    <mergeCell ref="AG575:AH575"/>
    <mergeCell ref="AH539:AK539"/>
    <mergeCell ref="AH541:AK541"/>
    <mergeCell ref="G718:J718"/>
    <mergeCell ref="AH719:AJ719"/>
    <mergeCell ref="AG665:AH665"/>
    <mergeCell ref="AG681:AH681"/>
    <mergeCell ref="G668:R668"/>
    <mergeCell ref="P671:R671"/>
    <mergeCell ref="P687:R687"/>
    <mergeCell ref="J705:O705"/>
    <mergeCell ref="J704:X704"/>
    <mergeCell ref="T714:W717"/>
    <mergeCell ref="O719:S719"/>
    <mergeCell ref="AI687:AK687"/>
    <mergeCell ref="H688:R688"/>
    <mergeCell ref="Z675:AK675"/>
    <mergeCell ref="AE702:AF702"/>
    <mergeCell ref="AE693:AF693"/>
    <mergeCell ref="AE694:AF694"/>
    <mergeCell ref="T555:V555"/>
    <mergeCell ref="W559:Y559"/>
    <mergeCell ref="A617:AT618"/>
    <mergeCell ref="M565:P565"/>
    <mergeCell ref="B624:L626"/>
    <mergeCell ref="T563:V563"/>
    <mergeCell ref="Z588:AK588"/>
    <mergeCell ref="Z564:AD564"/>
    <mergeCell ref="Z565:AD565"/>
    <mergeCell ref="Z572:AE572"/>
    <mergeCell ref="Z603:AK603"/>
    <mergeCell ref="Z605:AE605"/>
    <mergeCell ref="Z609:AK609"/>
    <mergeCell ref="Z612:AK612"/>
    <mergeCell ref="Z593:AK593"/>
    <mergeCell ref="M624:P626"/>
    <mergeCell ref="G609:R609"/>
    <mergeCell ref="AK624:AN626"/>
    <mergeCell ref="AM559:AS559"/>
    <mergeCell ref="G610:R610"/>
    <mergeCell ref="T729:W729"/>
    <mergeCell ref="AH728:AJ728"/>
    <mergeCell ref="B722:F722"/>
    <mergeCell ref="EM670:EQ670"/>
    <mergeCell ref="DX656:EB656"/>
    <mergeCell ref="EC656:EG656"/>
    <mergeCell ref="EH656:EL656"/>
    <mergeCell ref="EM656:EQ656"/>
    <mergeCell ref="G728:J728"/>
    <mergeCell ref="DR657:DV657"/>
    <mergeCell ref="DC653:DG653"/>
    <mergeCell ref="CH652:CL652"/>
    <mergeCell ref="CH653:CL653"/>
    <mergeCell ref="CH654:CL654"/>
    <mergeCell ref="CM652:CQ652"/>
    <mergeCell ref="CM653:CQ653"/>
    <mergeCell ref="CM654:CQ654"/>
    <mergeCell ref="BN652:BR652"/>
    <mergeCell ref="BN653:BR653"/>
    <mergeCell ref="BN654:BR654"/>
    <mergeCell ref="AH752:AJ752"/>
    <mergeCell ref="AH741:AJ741"/>
    <mergeCell ref="G671:L671"/>
    <mergeCell ref="G669:R669"/>
    <mergeCell ref="T718:W718"/>
    <mergeCell ref="O721:S721"/>
    <mergeCell ref="T723:W723"/>
    <mergeCell ref="G667:R667"/>
    <mergeCell ref="AC731:AG731"/>
    <mergeCell ref="AC732:AG732"/>
    <mergeCell ref="A709:AT711"/>
    <mergeCell ref="G660:R660"/>
    <mergeCell ref="X714:AB717"/>
    <mergeCell ref="Z679:AE679"/>
    <mergeCell ref="H680:R680"/>
    <mergeCell ref="Z670:AK670"/>
    <mergeCell ref="G670:R670"/>
    <mergeCell ref="G730:J730"/>
    <mergeCell ref="X730:AB730"/>
    <mergeCell ref="X731:AB731"/>
    <mergeCell ref="AE696:AI696"/>
    <mergeCell ref="Z677:AK677"/>
    <mergeCell ref="AK724:AO724"/>
    <mergeCell ref="AI663:AK663"/>
    <mergeCell ref="Z661:AK661"/>
    <mergeCell ref="X720:AB720"/>
    <mergeCell ref="AC733:AG733"/>
    <mergeCell ref="AH733:AJ733"/>
    <mergeCell ref="AK731:AO731"/>
    <mergeCell ref="AK732:AO732"/>
    <mergeCell ref="AK733:AO733"/>
    <mergeCell ref="AA688:AK68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Z669:AK669"/>
    <mergeCell ref="E707:AK707"/>
    <mergeCell ref="W706:AK706"/>
    <mergeCell ref="N673:O673"/>
    <mergeCell ref="G687:L687"/>
    <mergeCell ref="O728:S728"/>
    <mergeCell ref="O729:S729"/>
    <mergeCell ref="O722:S722"/>
    <mergeCell ref="G723:J723"/>
    <mergeCell ref="B720:F720"/>
    <mergeCell ref="B719:F719"/>
    <mergeCell ref="B714:F717"/>
    <mergeCell ref="Z686:AK686"/>
    <mergeCell ref="G675:R675"/>
    <mergeCell ref="AG689:AH689"/>
    <mergeCell ref="AC719:AG719"/>
    <mergeCell ref="CH660:CL660"/>
    <mergeCell ref="BS655:BW655"/>
    <mergeCell ref="BX655:CB655"/>
    <mergeCell ref="Z662:AK662"/>
    <mergeCell ref="Z667:AK667"/>
    <mergeCell ref="AC729:AG729"/>
    <mergeCell ref="X725:AB725"/>
    <mergeCell ref="CC655:CG655"/>
    <mergeCell ref="CH655:CL655"/>
    <mergeCell ref="AK727:AO727"/>
    <mergeCell ref="Z685:AK685"/>
    <mergeCell ref="CM660:CQ660"/>
    <mergeCell ref="CM649:CQ649"/>
    <mergeCell ref="DH649:DL649"/>
    <mergeCell ref="DM649:DQ649"/>
    <mergeCell ref="CS651:CW651"/>
    <mergeCell ref="AK723:AO723"/>
    <mergeCell ref="BN649:BR649"/>
    <mergeCell ref="AG649:AH649"/>
    <mergeCell ref="CC660:CG660"/>
    <mergeCell ref="BS660:BW660"/>
    <mergeCell ref="BX653:CB653"/>
    <mergeCell ref="BX654:CB654"/>
    <mergeCell ref="X722:AB722"/>
    <mergeCell ref="Z659:AK659"/>
    <mergeCell ref="CX655:DB655"/>
    <mergeCell ref="DC655:DG655"/>
    <mergeCell ref="DM653:DQ653"/>
    <mergeCell ref="DH654:DL654"/>
    <mergeCell ref="DM654:DQ654"/>
    <mergeCell ref="BX648:CB648"/>
    <mergeCell ref="CM650:CQ650"/>
    <mergeCell ref="Z668:AK668"/>
    <mergeCell ref="Z676:AK676"/>
    <mergeCell ref="W700:AK700"/>
    <mergeCell ref="Z683:AK683"/>
    <mergeCell ref="CS654:CW654"/>
    <mergeCell ref="CX654:DB654"/>
    <mergeCell ref="DC654:DG654"/>
    <mergeCell ref="BS653:BW653"/>
    <mergeCell ref="BN651:BR651"/>
    <mergeCell ref="BN650:BR650"/>
    <mergeCell ref="CC654:CG654"/>
    <mergeCell ref="CH650:CL650"/>
    <mergeCell ref="BS650:BW650"/>
    <mergeCell ref="BS648:BW648"/>
    <mergeCell ref="BS651:BW651"/>
    <mergeCell ref="BS652:BW652"/>
    <mergeCell ref="CH651:CL651"/>
    <mergeCell ref="BN648:BR648"/>
    <mergeCell ref="DR655:DV655"/>
    <mergeCell ref="CS652:CW652"/>
    <mergeCell ref="CX652:DB652"/>
    <mergeCell ref="DC652:DG652"/>
    <mergeCell ref="CS655:CW655"/>
    <mergeCell ref="DH652:DL652"/>
    <mergeCell ref="DM652:DQ652"/>
    <mergeCell ref="CS653:CW653"/>
    <mergeCell ref="CX653:DB653"/>
    <mergeCell ref="DR649:DV649"/>
    <mergeCell ref="DR652:DV652"/>
    <mergeCell ref="DR647:DV647"/>
    <mergeCell ref="DR651:DV651"/>
    <mergeCell ref="CS648:CW648"/>
    <mergeCell ref="DH655:DL655"/>
    <mergeCell ref="DM655:DQ655"/>
    <mergeCell ref="CM655:CQ655"/>
    <mergeCell ref="DR654:DV654"/>
    <mergeCell ref="DR653:DV653"/>
    <mergeCell ref="DH651:DL651"/>
    <mergeCell ref="DM651:DQ651"/>
    <mergeCell ref="CX650:DB650"/>
    <mergeCell ref="DR650:DV650"/>
    <mergeCell ref="CX651:DB651"/>
    <mergeCell ref="DH648:DL648"/>
    <mergeCell ref="DM648:DQ648"/>
    <mergeCell ref="DR648:DV648"/>
    <mergeCell ref="CS649:CW649"/>
    <mergeCell ref="DC649:DG649"/>
    <mergeCell ref="CX646:DB646"/>
    <mergeCell ref="CH646:CL646"/>
    <mergeCell ref="CC640:CG640"/>
    <mergeCell ref="CH639:CL639"/>
    <mergeCell ref="DH653:DL653"/>
    <mergeCell ref="CC649:CG649"/>
    <mergeCell ref="CC650:CG650"/>
    <mergeCell ref="CC652:CG652"/>
    <mergeCell ref="CC653:CG653"/>
    <mergeCell ref="DC650:DG650"/>
    <mergeCell ref="DH650:DL650"/>
    <mergeCell ref="DM650:DQ650"/>
    <mergeCell ref="CX649:DB649"/>
    <mergeCell ref="CM651:CQ651"/>
    <mergeCell ref="CH649:CL649"/>
    <mergeCell ref="CS645:CW645"/>
    <mergeCell ref="CC646:CG646"/>
    <mergeCell ref="DH647:DL647"/>
    <mergeCell ref="DM647:DQ647"/>
    <mergeCell ref="CM647:CQ647"/>
    <mergeCell ref="CM646:CQ646"/>
    <mergeCell ref="CX648:DB648"/>
    <mergeCell ref="DC648:DG648"/>
    <mergeCell ref="CC647:CG647"/>
    <mergeCell ref="CS647:CW647"/>
    <mergeCell ref="CX647:DB647"/>
    <mergeCell ref="DC647:DG647"/>
    <mergeCell ref="DM617:DQ617"/>
    <mergeCell ref="CC630:CG630"/>
    <mergeCell ref="BX632:CB632"/>
    <mergeCell ref="CM645:CQ645"/>
    <mergeCell ref="CC617:CG617"/>
    <mergeCell ref="CC619:CG619"/>
    <mergeCell ref="CH617:CL617"/>
    <mergeCell ref="BX630:CB630"/>
    <mergeCell ref="CC620:CG620"/>
    <mergeCell ref="CC625:CG625"/>
    <mergeCell ref="CH625:CL625"/>
    <mergeCell ref="CM625:CQ625"/>
    <mergeCell ref="CC623:CG623"/>
    <mergeCell ref="CC629:CG629"/>
    <mergeCell ref="CH629:CL629"/>
    <mergeCell ref="CM629:CQ629"/>
    <mergeCell ref="CS620:CW620"/>
    <mergeCell ref="CX620:DB620"/>
    <mergeCell ref="CS632:CW632"/>
    <mergeCell ref="CX632:DB632"/>
    <mergeCell ref="CH637:CL637"/>
    <mergeCell ref="CM627:CQ627"/>
    <mergeCell ref="CM626:CQ626"/>
    <mergeCell ref="DM623:DQ623"/>
    <mergeCell ref="CX626:DB626"/>
    <mergeCell ref="CM639:CQ639"/>
    <mergeCell ref="CM620:CQ620"/>
    <mergeCell ref="CM630:CQ630"/>
    <mergeCell ref="CM631:CQ631"/>
    <mergeCell ref="CM624:CQ624"/>
    <mergeCell ref="CC621:CG621"/>
    <mergeCell ref="CH621:CL621"/>
    <mergeCell ref="BX647:CB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24:CB624"/>
    <mergeCell ref="CC624:CG624"/>
    <mergeCell ref="CX645:DB645"/>
    <mergeCell ref="DC645:DG645"/>
    <mergeCell ref="CS646:CW646"/>
    <mergeCell ref="CH647:CL647"/>
    <mergeCell ref="CS650:CW650"/>
    <mergeCell ref="DM618:DQ618"/>
    <mergeCell ref="DR618:DV618"/>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M619:CQ619"/>
    <mergeCell ref="CH619:CL619"/>
    <mergeCell ref="CM633:CQ633"/>
    <mergeCell ref="BS637:BW637"/>
    <mergeCell ref="DM632:DQ632"/>
    <mergeCell ref="CH641:CL641"/>
    <mergeCell ref="BX645:CB645"/>
    <mergeCell ref="BX638:CB638"/>
    <mergeCell ref="CC632:CG632"/>
    <mergeCell ref="CH632:CL632"/>
    <mergeCell ref="DM624:DQ624"/>
    <mergeCell ref="CS628:CW628"/>
    <mergeCell ref="CX628:DB628"/>
    <mergeCell ref="DC628:DG628"/>
    <mergeCell ref="DH628:DL628"/>
    <mergeCell ref="DM628:DQ628"/>
    <mergeCell ref="CM628:CQ628"/>
    <mergeCell ref="DC631:DG631"/>
    <mergeCell ref="BN641:BR641"/>
    <mergeCell ref="BN637:BR637"/>
    <mergeCell ref="BS631:BW631"/>
    <mergeCell ref="AF636:AJ636"/>
    <mergeCell ref="AF637:AJ637"/>
    <mergeCell ref="AF638:AJ638"/>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AK633:AN633"/>
    <mergeCell ref="EM619:EQ619"/>
    <mergeCell ref="EC637:EG637"/>
    <mergeCell ref="EH637:EL637"/>
    <mergeCell ref="AF634:AJ634"/>
    <mergeCell ref="W624:Y626"/>
    <mergeCell ref="T624:V626"/>
    <mergeCell ref="AC633:AE633"/>
    <mergeCell ref="AC634:AE634"/>
    <mergeCell ref="AC635:AE635"/>
    <mergeCell ref="W634:Y634"/>
    <mergeCell ref="CC616:CG616"/>
    <mergeCell ref="BX618:CB618"/>
    <mergeCell ref="CC618:CG618"/>
    <mergeCell ref="DR630:DV630"/>
    <mergeCell ref="DH630:DL630"/>
    <mergeCell ref="CH626:CL626"/>
    <mergeCell ref="CH640:CL640"/>
    <mergeCell ref="CM640:CQ640"/>
    <mergeCell ref="CM638:CQ638"/>
    <mergeCell ref="AC624:AE626"/>
    <mergeCell ref="DM616:DQ616"/>
    <mergeCell ref="CS616:CW616"/>
    <mergeCell ref="AO637:AS637"/>
    <mergeCell ref="CS614:CW614"/>
    <mergeCell ref="AO630:AS630"/>
    <mergeCell ref="Z611:AK611"/>
    <mergeCell ref="CX613:DB613"/>
    <mergeCell ref="AO636:AS636"/>
    <mergeCell ref="AO627:AS627"/>
    <mergeCell ref="DR611:DV611"/>
    <mergeCell ref="DC619:DG619"/>
    <mergeCell ref="DH619:DL619"/>
    <mergeCell ref="DM619:DQ619"/>
    <mergeCell ref="BN638:BR638"/>
    <mergeCell ref="CM612:CQ612"/>
    <mergeCell ref="CM613:CQ613"/>
    <mergeCell ref="CM614:CQ614"/>
    <mergeCell ref="CM615:CQ615"/>
    <mergeCell ref="BK617:BL617"/>
    <mergeCell ref="BS617:BW617"/>
    <mergeCell ref="CH615:CL615"/>
    <mergeCell ref="CC615:CG615"/>
    <mergeCell ref="DR617:DV617"/>
    <mergeCell ref="DM631:DQ631"/>
    <mergeCell ref="DH631:DL631"/>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16:DV616"/>
    <mergeCell ref="CX616:DB616"/>
    <mergeCell ref="DC632:DG632"/>
    <mergeCell ref="DH632:DL632"/>
    <mergeCell ref="AO640:AS640"/>
    <mergeCell ref="AO638:AS638"/>
    <mergeCell ref="BG632:BH632"/>
    <mergeCell ref="BK632:BL632"/>
    <mergeCell ref="BN632:BR632"/>
    <mergeCell ref="BS639:BW639"/>
    <mergeCell ref="EM637:EQ637"/>
    <mergeCell ref="CS619:CW619"/>
    <mergeCell ref="CX619:DB619"/>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H641:EL641"/>
    <mergeCell ref="EM641:EQ641"/>
    <mergeCell ref="ER651:EV651"/>
    <mergeCell ref="ER652:EV652"/>
    <mergeCell ref="EM651:EQ651"/>
    <mergeCell ref="ER655:EV655"/>
    <mergeCell ref="EH648:EL648"/>
    <mergeCell ref="EH651:EL651"/>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53:EL653"/>
    <mergeCell ref="EM653:EQ653"/>
    <mergeCell ref="EM667:EQ667"/>
    <mergeCell ref="ER667:EV667"/>
    <mergeCell ref="EW667:FA667"/>
    <mergeCell ref="ER653:EV653"/>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62:FA662"/>
    <mergeCell ref="DX663:EB663"/>
    <mergeCell ref="EC663:EG663"/>
    <mergeCell ref="EH663:EL663"/>
    <mergeCell ref="EM654:EQ654"/>
    <mergeCell ref="ER654:EV654"/>
    <mergeCell ref="EM652:EQ652"/>
    <mergeCell ref="DX650:EB650"/>
    <mergeCell ref="EC650:EG650"/>
    <mergeCell ref="EC655:EG655"/>
    <mergeCell ref="EH650:EL650"/>
    <mergeCell ref="ER649:EV649"/>
    <mergeCell ref="DX652:EB652"/>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49:EQ649"/>
    <mergeCell ref="EC652:EG652"/>
    <mergeCell ref="EH652:EL652"/>
    <mergeCell ref="ER650:EV650"/>
    <mergeCell ref="EC649:EG649"/>
    <mergeCell ref="EC639:EG639"/>
    <mergeCell ref="EH639:EL639"/>
    <mergeCell ref="EM639:EQ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H619:EL619"/>
    <mergeCell ref="EH622:EL622"/>
    <mergeCell ref="EM622:EQ622"/>
    <mergeCell ref="ER622:EV622"/>
    <mergeCell ref="EW622:FA622"/>
    <mergeCell ref="DX623:EB623"/>
    <mergeCell ref="EC623:EG623"/>
    <mergeCell ref="EH623:EL623"/>
    <mergeCell ref="EC635:EG635"/>
    <mergeCell ref="EH635:EL635"/>
    <mergeCell ref="EM635:EQ635"/>
    <mergeCell ref="ER635:EV635"/>
    <mergeCell ref="EW635:FA635"/>
    <mergeCell ref="EW647:FA647"/>
    <mergeCell ref="DX614:EB614"/>
    <mergeCell ref="EC614:EG614"/>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M644:EQ644"/>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M613:EQ613"/>
    <mergeCell ref="ER613:EV613"/>
    <mergeCell ref="EW631:FA631"/>
    <mergeCell ref="EW613:FA613"/>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C609:EG609"/>
    <mergeCell ref="EH609:EL609"/>
    <mergeCell ref="EM609:EQ609"/>
    <mergeCell ref="ER609:EV609"/>
    <mergeCell ref="EW615:FA615"/>
    <mergeCell ref="DX616:EB616"/>
    <mergeCell ref="EC616:EG616"/>
    <mergeCell ref="EH616:EL616"/>
    <mergeCell ref="EC613:EG613"/>
    <mergeCell ref="EH613:EL613"/>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W605:FA605"/>
    <mergeCell ref="DX606:EB606"/>
    <mergeCell ref="EC606:EG606"/>
    <mergeCell ref="EH606:EL606"/>
    <mergeCell ref="EM606:EQ606"/>
    <mergeCell ref="ER606:EV606"/>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DX599:EB599"/>
    <mergeCell ref="EC599:EG599"/>
    <mergeCell ref="EH599:EL599"/>
    <mergeCell ref="EM599:EQ599"/>
    <mergeCell ref="ER599:EV599"/>
    <mergeCell ref="EC605:EG605"/>
    <mergeCell ref="EH605:EL605"/>
    <mergeCell ref="M969:S969"/>
    <mergeCell ref="F914:T914"/>
    <mergeCell ref="I947:T947"/>
    <mergeCell ref="AJ1000:AQ1005"/>
    <mergeCell ref="AJ1019:AQ1023"/>
    <mergeCell ref="D1019:AE1020"/>
    <mergeCell ref="AB990:AI990"/>
    <mergeCell ref="AA921:AF921"/>
    <mergeCell ref="M957:S957"/>
    <mergeCell ref="J956:S956"/>
    <mergeCell ref="AA948:AF948"/>
    <mergeCell ref="U940:Z940"/>
    <mergeCell ref="M970:S970"/>
    <mergeCell ref="M955:S955"/>
    <mergeCell ref="R984:AA984"/>
    <mergeCell ref="A978:AT980"/>
    <mergeCell ref="AB987:AI987"/>
    <mergeCell ref="AJ984:AQ984"/>
    <mergeCell ref="AB988:AI988"/>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EW601:FA601"/>
    <mergeCell ref="AJ1048:AQ1051"/>
    <mergeCell ref="U928:Z928"/>
    <mergeCell ref="AA928:AF928"/>
    <mergeCell ref="U929:Z929"/>
    <mergeCell ref="AA929:AF929"/>
    <mergeCell ref="U930:Z930"/>
    <mergeCell ref="U939:Z939"/>
    <mergeCell ref="F935:T935"/>
    <mergeCell ref="U935:Z935"/>
    <mergeCell ref="AA935:AF935"/>
    <mergeCell ref="U942:Z942"/>
    <mergeCell ref="D1021:AE1022"/>
    <mergeCell ref="J1023:AE1023"/>
    <mergeCell ref="DX602:EB602"/>
    <mergeCell ref="EC602:EG602"/>
    <mergeCell ref="EH602:EL602"/>
    <mergeCell ref="EM602:EQ602"/>
    <mergeCell ref="ER602:EV602"/>
    <mergeCell ref="DX605:EB605"/>
    <mergeCell ref="EM605:EQ605"/>
    <mergeCell ref="ER605:EV605"/>
    <mergeCell ref="EM616:EQ616"/>
    <mergeCell ref="DX607:EB607"/>
    <mergeCell ref="EC607:EG607"/>
    <mergeCell ref="EH607:EL60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D1024:AE1024"/>
    <mergeCell ref="AJ1044:AQ1047"/>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R987:AA987"/>
    <mergeCell ref="AA923:AF923"/>
    <mergeCell ref="M968:S968"/>
    <mergeCell ref="T971:Z971"/>
    <mergeCell ref="AA940:AF940"/>
    <mergeCell ref="D989:Q989"/>
    <mergeCell ref="AG1024:AH1024"/>
    <mergeCell ref="AF1025:AI1025"/>
    <mergeCell ref="AB989:AI989"/>
    <mergeCell ref="M961:S961"/>
    <mergeCell ref="AA922:AF922"/>
    <mergeCell ref="AB916:AE916"/>
    <mergeCell ref="D1031:AE1031"/>
    <mergeCell ref="D1032:AE1034"/>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T769:W772"/>
    <mergeCell ref="G731:J731"/>
    <mergeCell ref="T749:W749"/>
    <mergeCell ref="K750:N750"/>
    <mergeCell ref="O750:S750"/>
    <mergeCell ref="T750:W750"/>
    <mergeCell ref="K751:N751"/>
    <mergeCell ref="O751:S751"/>
    <mergeCell ref="T751:W751"/>
    <mergeCell ref="O776:S776"/>
    <mergeCell ref="O769:S772"/>
    <mergeCell ref="B746:F746"/>
    <mergeCell ref="B747:F747"/>
    <mergeCell ref="B748:F748"/>
    <mergeCell ref="B749:F749"/>
    <mergeCell ref="B750:F750"/>
    <mergeCell ref="T736:W736"/>
    <mergeCell ref="B752:F752"/>
    <mergeCell ref="O732:S732"/>
    <mergeCell ref="O741:S741"/>
    <mergeCell ref="G753:J753"/>
    <mergeCell ref="B753:F753"/>
    <mergeCell ref="X788:AB788"/>
    <mergeCell ref="T734:W734"/>
    <mergeCell ref="O775:S775"/>
    <mergeCell ref="K733:N733"/>
    <mergeCell ref="J774:N774"/>
    <mergeCell ref="G740:J740"/>
    <mergeCell ref="T733:W733"/>
    <mergeCell ref="O734:S734"/>
    <mergeCell ref="K739:N739"/>
    <mergeCell ref="O783:S786"/>
    <mergeCell ref="O756:R756"/>
    <mergeCell ref="X774:AB774"/>
    <mergeCell ref="X769:AB772"/>
    <mergeCell ref="B733:F733"/>
    <mergeCell ref="B751:F751"/>
    <mergeCell ref="T787:W787"/>
    <mergeCell ref="T788:W788"/>
    <mergeCell ref="G732:J732"/>
    <mergeCell ref="K743:N743"/>
    <mergeCell ref="O743:S743"/>
    <mergeCell ref="T743:W743"/>
    <mergeCell ref="K744:N744"/>
    <mergeCell ref="O744:S744"/>
    <mergeCell ref="X740:AB740"/>
    <mergeCell ref="O733:S733"/>
    <mergeCell ref="O735:S735"/>
    <mergeCell ref="U829:X829"/>
    <mergeCell ref="U827:X827"/>
    <mergeCell ref="Q825:T825"/>
    <mergeCell ref="X745:AB745"/>
    <mergeCell ref="X746:AB746"/>
    <mergeCell ref="X747:AB747"/>
    <mergeCell ref="X748:AB748"/>
    <mergeCell ref="X749:AB749"/>
    <mergeCell ref="X750:AB750"/>
    <mergeCell ref="G739:J739"/>
    <mergeCell ref="AC742:AG742"/>
    <mergeCell ref="AC743:AG743"/>
    <mergeCell ref="AC744:AG744"/>
    <mergeCell ref="O790:S790"/>
    <mergeCell ref="T794:W794"/>
    <mergeCell ref="T792:W792"/>
    <mergeCell ref="O777:S777"/>
    <mergeCell ref="X752:AB752"/>
    <mergeCell ref="AG826:AJ826"/>
    <mergeCell ref="AG825:AJ825"/>
    <mergeCell ref="AC794:AG794"/>
    <mergeCell ref="AC795:AG795"/>
    <mergeCell ref="O793:S793"/>
    <mergeCell ref="J790:N790"/>
    <mergeCell ref="AC789:AG789"/>
    <mergeCell ref="AC790:AG790"/>
    <mergeCell ref="AC739:AG739"/>
    <mergeCell ref="K746:N746"/>
    <mergeCell ref="O746:S746"/>
    <mergeCell ref="T746:W746"/>
    <mergeCell ref="K747:N747"/>
    <mergeCell ref="O747:S747"/>
    <mergeCell ref="A83:AT84"/>
    <mergeCell ref="A69:AT70"/>
    <mergeCell ref="A72:AT73"/>
    <mergeCell ref="A544:AT545"/>
    <mergeCell ref="A480:AT481"/>
    <mergeCell ref="A351:AT352"/>
    <mergeCell ref="A282:AT283"/>
    <mergeCell ref="A222:AT223"/>
    <mergeCell ref="W469:Y469"/>
    <mergeCell ref="J367:K367"/>
    <mergeCell ref="AG379:AH379"/>
    <mergeCell ref="AM558:AS558"/>
    <mergeCell ref="AM566:AS566"/>
    <mergeCell ref="AM556:AS556"/>
    <mergeCell ref="H573:R573"/>
    <mergeCell ref="B566:AL566"/>
    <mergeCell ref="AM561:AS561"/>
    <mergeCell ref="H340:M340"/>
    <mergeCell ref="A169:AT170"/>
    <mergeCell ref="M560:P560"/>
    <mergeCell ref="AD412:AE412"/>
    <mergeCell ref="H414:AE415"/>
    <mergeCell ref="AE425:AF425"/>
    <mergeCell ref="AI561:AL561"/>
    <mergeCell ref="AE560:AH560"/>
    <mergeCell ref="T556:V556"/>
    <mergeCell ref="AC520:AF520"/>
    <mergeCell ref="AC527:AF527"/>
    <mergeCell ref="B520:H542"/>
    <mergeCell ref="Z554:AD554"/>
    <mergeCell ref="AC347:AE347"/>
    <mergeCell ref="P343:AE343"/>
    <mergeCell ref="AC769:AG772"/>
    <mergeCell ref="D1083:AK1085"/>
    <mergeCell ref="J792:N792"/>
    <mergeCell ref="B734:F734"/>
    <mergeCell ref="B736:F736"/>
    <mergeCell ref="AC636:AE636"/>
    <mergeCell ref="AC637:AE637"/>
    <mergeCell ref="AC638:AE638"/>
    <mergeCell ref="P421:R421"/>
    <mergeCell ref="G603:R603"/>
    <mergeCell ref="N607:O607"/>
    <mergeCell ref="P597:R597"/>
    <mergeCell ref="W560:Y560"/>
    <mergeCell ref="T629:V629"/>
    <mergeCell ref="T630:V630"/>
    <mergeCell ref="T631:V631"/>
    <mergeCell ref="T632:V632"/>
    <mergeCell ref="T633:V63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J794:N794"/>
    <mergeCell ref="C893:AB893"/>
    <mergeCell ref="W871:AC871"/>
    <mergeCell ref="W866:AC866"/>
    <mergeCell ref="AH734:AJ734"/>
    <mergeCell ref="AH729:AJ729"/>
    <mergeCell ref="T790:W79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AC741:AG741"/>
    <mergeCell ref="AC737:AG737"/>
    <mergeCell ref="A1086:B1086"/>
    <mergeCell ref="AC736:AG736"/>
    <mergeCell ref="T738:W738"/>
    <mergeCell ref="T744:W744"/>
    <mergeCell ref="K745:N745"/>
    <mergeCell ref="O745:S745"/>
    <mergeCell ref="T745:W745"/>
    <mergeCell ref="D1098:AK1102"/>
    <mergeCell ref="U919:Z919"/>
    <mergeCell ref="M967:S967"/>
    <mergeCell ref="AA966:AG966"/>
    <mergeCell ref="AA972:AG972"/>
    <mergeCell ref="AE961:AK961"/>
    <mergeCell ref="U828:X828"/>
    <mergeCell ref="W842:AC842"/>
    <mergeCell ref="W847:AC847"/>
    <mergeCell ref="F915:T916"/>
    <mergeCell ref="F937:T937"/>
    <mergeCell ref="F938:T938"/>
    <mergeCell ref="F939:T939"/>
    <mergeCell ref="AC888:AH888"/>
    <mergeCell ref="M878:V878"/>
    <mergeCell ref="AC883:AH883"/>
    <mergeCell ref="T774:W774"/>
    <mergeCell ref="J779:K779"/>
    <mergeCell ref="J787:N787"/>
    <mergeCell ref="G738:J738"/>
    <mergeCell ref="G737:J737"/>
    <mergeCell ref="W863:AC863"/>
    <mergeCell ref="AC891:AH891"/>
    <mergeCell ref="AC752:AG752"/>
    <mergeCell ref="AC775:AG775"/>
    <mergeCell ref="O723:S723"/>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G729:J729"/>
    <mergeCell ref="B726:F726"/>
    <mergeCell ref="T728:W728"/>
    <mergeCell ref="AC740:AG740"/>
    <mergeCell ref="G646:R646"/>
    <mergeCell ref="BS641:BW641"/>
    <mergeCell ref="AO639:AS639"/>
    <mergeCell ref="G735:J735"/>
    <mergeCell ref="T773:W773"/>
    <mergeCell ref="G736:J736"/>
    <mergeCell ref="DC651:DG651"/>
    <mergeCell ref="AH731:AJ731"/>
    <mergeCell ref="AH727:AJ727"/>
    <mergeCell ref="G727:J727"/>
    <mergeCell ref="AO641:AS641"/>
    <mergeCell ref="T732:W732"/>
    <mergeCell ref="T731:W731"/>
    <mergeCell ref="J773:N773"/>
    <mergeCell ref="O773:S773"/>
    <mergeCell ref="T752:W752"/>
    <mergeCell ref="J776:N776"/>
    <mergeCell ref="BN660:BR660"/>
    <mergeCell ref="BN646:BR646"/>
    <mergeCell ref="AA664:AK664"/>
    <mergeCell ref="BS647:BW647"/>
    <mergeCell ref="BN645:BR645"/>
    <mergeCell ref="Z653:AK653"/>
    <mergeCell ref="Z652:AK652"/>
    <mergeCell ref="P647:R647"/>
    <mergeCell ref="AI647:AK647"/>
    <mergeCell ref="N657:O657"/>
    <mergeCell ref="Z660:AK660"/>
    <mergeCell ref="G663:L663"/>
    <mergeCell ref="T739:W739"/>
    <mergeCell ref="G752:J752"/>
    <mergeCell ref="T741:W741"/>
    <mergeCell ref="CX609:DB609"/>
    <mergeCell ref="DC609:DG609"/>
    <mergeCell ref="DH609:DL609"/>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1:L581"/>
    <mergeCell ref="P572:R572"/>
    <mergeCell ref="R411:S411"/>
    <mergeCell ref="Q389:U389"/>
    <mergeCell ref="AJ357:AK357"/>
    <mergeCell ref="G572:L572"/>
    <mergeCell ref="Z586:AK586"/>
    <mergeCell ref="T561:V561"/>
    <mergeCell ref="S489:AK490"/>
    <mergeCell ref="I410:AE410"/>
    <mergeCell ref="G577:R577"/>
    <mergeCell ref="G594:R594"/>
    <mergeCell ref="AA573:AK573"/>
    <mergeCell ref="Z594:AK594"/>
    <mergeCell ref="Z577:AK577"/>
    <mergeCell ref="M562:P562"/>
    <mergeCell ref="M563:P563"/>
    <mergeCell ref="I421:K421"/>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N372:Q372"/>
    <mergeCell ref="P424:Q424"/>
    <mergeCell ref="Q492:AK492"/>
    <mergeCell ref="AF418:AH418"/>
    <mergeCell ref="Z434:AA434"/>
    <mergeCell ref="H590:R590"/>
    <mergeCell ref="C638:L638"/>
    <mergeCell ref="P613:R613"/>
    <mergeCell ref="N615:O615"/>
    <mergeCell ref="G601:R601"/>
    <mergeCell ref="G578:R578"/>
    <mergeCell ref="Z602:AK602"/>
    <mergeCell ref="Q638:S638"/>
    <mergeCell ref="AE565:AH565"/>
    <mergeCell ref="W638:Y638"/>
    <mergeCell ref="AF635:AJ635"/>
    <mergeCell ref="G580:R580"/>
    <mergeCell ref="C629:L629"/>
    <mergeCell ref="C630:L630"/>
    <mergeCell ref="C631:L631"/>
    <mergeCell ref="C632:L632"/>
    <mergeCell ref="Z628:AB628"/>
    <mergeCell ref="Z629:AB629"/>
    <mergeCell ref="W630:Y630"/>
    <mergeCell ref="W631:Y631"/>
    <mergeCell ref="AK634:AN634"/>
    <mergeCell ref="AK635:AN635"/>
    <mergeCell ref="AK636:AN636"/>
    <mergeCell ref="AF631:AJ631"/>
    <mergeCell ref="AF632:AJ632"/>
    <mergeCell ref="T565:V565"/>
    <mergeCell ref="AK638:AN638"/>
    <mergeCell ref="AF633:AJ633"/>
    <mergeCell ref="G612:R612"/>
    <mergeCell ref="Q635:S635"/>
    <mergeCell ref="AK629:AN629"/>
    <mergeCell ref="T634:V634"/>
    <mergeCell ref="AF629:AJ629"/>
    <mergeCell ref="BG624:BH624"/>
    <mergeCell ref="BI624:BJ624"/>
    <mergeCell ref="AO634:AS634"/>
    <mergeCell ref="BX637:CB637"/>
    <mergeCell ref="AO635:AS635"/>
    <mergeCell ref="BK616:BL616"/>
    <mergeCell ref="BI610:BJ610"/>
    <mergeCell ref="Z634:AB634"/>
    <mergeCell ref="Z635:AB635"/>
    <mergeCell ref="W628:Y628"/>
    <mergeCell ref="W629:Y629"/>
    <mergeCell ref="AG615:AH615"/>
    <mergeCell ref="G613:L613"/>
    <mergeCell ref="C633:L633"/>
    <mergeCell ref="C634:L634"/>
    <mergeCell ref="M628:P628"/>
    <mergeCell ref="M629:P629"/>
    <mergeCell ref="M630:P630"/>
    <mergeCell ref="W636:Y636"/>
    <mergeCell ref="W637:Y637"/>
    <mergeCell ref="W632:Y632"/>
    <mergeCell ref="Q636:S636"/>
    <mergeCell ref="Q637:S637"/>
    <mergeCell ref="BG615:BH615"/>
    <mergeCell ref="BS620:BW620"/>
    <mergeCell ref="BX620:CB620"/>
    <mergeCell ref="BE613:BF613"/>
    <mergeCell ref="BN618:BR618"/>
    <mergeCell ref="G611:R611"/>
    <mergeCell ref="C636:L636"/>
    <mergeCell ref="BE612:BF612"/>
    <mergeCell ref="C637:L637"/>
    <mergeCell ref="CH616:CL616"/>
    <mergeCell ref="BE618:BF618"/>
    <mergeCell ref="CH614:CL614"/>
    <mergeCell ref="BK611:BL611"/>
    <mergeCell ref="BE619:BF619"/>
    <mergeCell ref="BI616:BJ616"/>
    <mergeCell ref="BE611:BF611"/>
    <mergeCell ref="BN613:BR613"/>
    <mergeCell ref="CC638:CG638"/>
    <mergeCell ref="BN611:BR611"/>
    <mergeCell ref="BG608:BH608"/>
    <mergeCell ref="BN630:BR630"/>
    <mergeCell ref="BK630:BL630"/>
    <mergeCell ref="BX613:CB613"/>
    <mergeCell ref="CC613:CG613"/>
    <mergeCell ref="CH638:CL638"/>
    <mergeCell ref="BG617:BH617"/>
    <mergeCell ref="BN616:BR616"/>
    <mergeCell ref="BI618:BJ618"/>
    <mergeCell ref="BK618:BL618"/>
    <mergeCell ref="BI623:BJ623"/>
    <mergeCell ref="BK623:BL623"/>
    <mergeCell ref="BI617:BJ617"/>
    <mergeCell ref="BE616:BF616"/>
    <mergeCell ref="BK626:BL626"/>
    <mergeCell ref="BN621:BR621"/>
    <mergeCell ref="BS621:BW621"/>
    <mergeCell ref="BX621:CB621"/>
    <mergeCell ref="BX610:CB610"/>
    <mergeCell ref="BK619:BL619"/>
    <mergeCell ref="BS632:BW632"/>
    <mergeCell ref="BE624:BF624"/>
    <mergeCell ref="CC608:CG608"/>
    <mergeCell ref="CH606:CL606"/>
    <mergeCell ref="CH605:CL605"/>
    <mergeCell ref="CH609:CL609"/>
    <mergeCell ref="CH610:CL610"/>
    <mergeCell ref="CH608:CL608"/>
    <mergeCell ref="BX606:CB606"/>
    <mergeCell ref="BG614:BH614"/>
    <mergeCell ref="BG613:BH613"/>
    <mergeCell ref="BK615:BL615"/>
    <mergeCell ref="CC614:CG614"/>
    <mergeCell ref="BN615:BR615"/>
    <mergeCell ref="BK605:BL605"/>
    <mergeCell ref="CM611:CQ611"/>
    <mergeCell ref="BS615:BW615"/>
    <mergeCell ref="CC611:CG611"/>
    <mergeCell ref="BS612:BW612"/>
    <mergeCell ref="CH611:CL611"/>
    <mergeCell ref="BS611:BW611"/>
    <mergeCell ref="BX608:CB608"/>
    <mergeCell ref="BX611:CB611"/>
    <mergeCell ref="BI611:BJ611"/>
    <mergeCell ref="BI609:BJ609"/>
    <mergeCell ref="BK614:BL614"/>
    <mergeCell ref="BI613:BJ613"/>
    <mergeCell ref="BK613:BL613"/>
    <mergeCell ref="CH612:CL612"/>
    <mergeCell ref="CC612:CG612"/>
    <mergeCell ref="BS614:BW614"/>
    <mergeCell ref="BI614:BJ614"/>
    <mergeCell ref="BN612:BR612"/>
    <mergeCell ref="BN614:BR614"/>
    <mergeCell ref="BX614:CB614"/>
    <mergeCell ref="BS613:BW613"/>
    <mergeCell ref="BS616:BW616"/>
    <mergeCell ref="BI615:BJ615"/>
    <mergeCell ref="CH620:CL620"/>
    <mergeCell ref="Z633:AB633"/>
    <mergeCell ref="AF624:AJ626"/>
    <mergeCell ref="BG631:BH631"/>
    <mergeCell ref="BI631:BJ631"/>
    <mergeCell ref="AF627:AJ627"/>
    <mergeCell ref="BE631:BF631"/>
    <mergeCell ref="BI626:BJ626"/>
    <mergeCell ref="T635:V635"/>
    <mergeCell ref="T636:V636"/>
    <mergeCell ref="T637:V637"/>
    <mergeCell ref="Q624:S626"/>
    <mergeCell ref="AA614:AK614"/>
    <mergeCell ref="BE614:BF614"/>
    <mergeCell ref="BK631:BL631"/>
    <mergeCell ref="BN631:BR631"/>
    <mergeCell ref="AO629:AS629"/>
    <mergeCell ref="AF630:AJ630"/>
    <mergeCell ref="AK628:AN628"/>
    <mergeCell ref="AK637:AN637"/>
    <mergeCell ref="CC631:CG631"/>
    <mergeCell ref="BE630:BF630"/>
    <mergeCell ref="AO624:AS626"/>
    <mergeCell ref="Q627:S627"/>
    <mergeCell ref="AK627:AN627"/>
    <mergeCell ref="AC629:AE629"/>
    <mergeCell ref="BG630:BH630"/>
    <mergeCell ref="AC628:AE628"/>
    <mergeCell ref="BI612:BJ612"/>
    <mergeCell ref="BK612:BL612"/>
    <mergeCell ref="BG612:BH612"/>
    <mergeCell ref="CC628:CG628"/>
    <mergeCell ref="CH628:CL628"/>
    <mergeCell ref="BX627:CB627"/>
    <mergeCell ref="CC627:CG627"/>
    <mergeCell ref="CH627:CL627"/>
    <mergeCell ref="BS626:BW626"/>
    <mergeCell ref="BX626:CB626"/>
    <mergeCell ref="CC626:CG626"/>
    <mergeCell ref="BN627:BR627"/>
    <mergeCell ref="BN624:BR624"/>
    <mergeCell ref="BE615:BF615"/>
    <mergeCell ref="BG619:BH619"/>
    <mergeCell ref="BX616:CB616"/>
    <mergeCell ref="CH618:CL618"/>
    <mergeCell ref="BI619:BJ619"/>
    <mergeCell ref="BG616:BH616"/>
    <mergeCell ref="BE617:BF617"/>
    <mergeCell ref="BK624:BL624"/>
    <mergeCell ref="BE625:BF625"/>
    <mergeCell ref="BG625:BH625"/>
    <mergeCell ref="CH624:CL624"/>
    <mergeCell ref="BI628:BJ628"/>
    <mergeCell ref="BK628:BL628"/>
    <mergeCell ref="BN628:BR628"/>
    <mergeCell ref="BS628:BW628"/>
    <mergeCell ref="BX628:CB628"/>
    <mergeCell ref="CH613:CL613"/>
    <mergeCell ref="BX612:CB612"/>
    <mergeCell ref="BX615:CB615"/>
    <mergeCell ref="T638:V638"/>
    <mergeCell ref="AK631:AN631"/>
    <mergeCell ref="AK632:AN632"/>
    <mergeCell ref="W635:Y635"/>
    <mergeCell ref="M631:P631"/>
    <mergeCell ref="Z631:AB631"/>
    <mergeCell ref="Z632:AB632"/>
    <mergeCell ref="BG628:BH628"/>
    <mergeCell ref="CM616:CQ616"/>
    <mergeCell ref="CM617:CQ617"/>
    <mergeCell ref="CM618:CQ618"/>
    <mergeCell ref="M633:P633"/>
    <mergeCell ref="M634:P634"/>
    <mergeCell ref="BS630:BW630"/>
    <mergeCell ref="BN639:BR639"/>
    <mergeCell ref="BN640:BR640"/>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S627:BW627"/>
    <mergeCell ref="H656:R656"/>
    <mergeCell ref="C627:L627"/>
    <mergeCell ref="C635:L635"/>
    <mergeCell ref="G647:L647"/>
    <mergeCell ref="Z643:AK643"/>
    <mergeCell ref="BX619:CB619"/>
    <mergeCell ref="BS640:BW640"/>
    <mergeCell ref="BX639:CB639"/>
    <mergeCell ref="BX640:CB640"/>
    <mergeCell ref="BN655:BR655"/>
    <mergeCell ref="G651:R651"/>
    <mergeCell ref="G652:R652"/>
    <mergeCell ref="Z655:AE655"/>
    <mergeCell ref="AA656:AK656"/>
    <mergeCell ref="Z630:AB630"/>
    <mergeCell ref="BS649:BW649"/>
    <mergeCell ref="BX652:CB652"/>
    <mergeCell ref="BI625:BJ625"/>
    <mergeCell ref="BK625:BL625"/>
    <mergeCell ref="BX623:CB623"/>
    <mergeCell ref="BN625:BR625"/>
    <mergeCell ref="BS625:BW625"/>
    <mergeCell ref="BX625:CB625"/>
    <mergeCell ref="M635:P635"/>
    <mergeCell ref="M636:P636"/>
    <mergeCell ref="M637:P637"/>
    <mergeCell ref="AI655:AK655"/>
    <mergeCell ref="BI630:BJ630"/>
    <mergeCell ref="M638:P638"/>
    <mergeCell ref="BN629:BR629"/>
    <mergeCell ref="BS629:BW629"/>
    <mergeCell ref="BX629:CB629"/>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D1070:AK1075"/>
    <mergeCell ref="W852:AC852"/>
    <mergeCell ref="AA970:AG970"/>
    <mergeCell ref="AA924:AF924"/>
    <mergeCell ref="AE957:AK957"/>
    <mergeCell ref="C832:L832"/>
    <mergeCell ref="D1064:AK1069"/>
    <mergeCell ref="M874:V874"/>
    <mergeCell ref="R985:AA985"/>
    <mergeCell ref="M958:S958"/>
    <mergeCell ref="AE958:AK958"/>
    <mergeCell ref="W973:AG973"/>
    <mergeCell ref="M972:S972"/>
    <mergeCell ref="M971:S971"/>
    <mergeCell ref="M960:S960"/>
    <mergeCell ref="D1076:AK1082"/>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AA930:AF930"/>
    <mergeCell ref="U931:Z931"/>
    <mergeCell ref="AA931:AF931"/>
    <mergeCell ref="U938:Z938"/>
    <mergeCell ref="AA918:AF918"/>
    <mergeCell ref="U923:Z923"/>
    <mergeCell ref="AA971:AG971"/>
    <mergeCell ref="AA919:AF919"/>
    <mergeCell ref="A909:AT910"/>
    <mergeCell ref="U937:Z937"/>
    <mergeCell ref="U927:Z927"/>
    <mergeCell ref="U924:Z924"/>
    <mergeCell ref="AA934:AF934"/>
    <mergeCell ref="AA917:AF917"/>
    <mergeCell ref="BG848:BL848"/>
    <mergeCell ref="C829:H829"/>
    <mergeCell ref="Q828:T828"/>
    <mergeCell ref="E885:AB885"/>
    <mergeCell ref="U947:Z947"/>
    <mergeCell ref="U934:Z934"/>
    <mergeCell ref="D1052:AI1052"/>
    <mergeCell ref="AA967:AG967"/>
    <mergeCell ref="AE954:AK954"/>
    <mergeCell ref="I949:T949"/>
    <mergeCell ref="AA942:AF942"/>
    <mergeCell ref="AA936:AF936"/>
    <mergeCell ref="F941:T941"/>
    <mergeCell ref="U941:Z941"/>
    <mergeCell ref="AA941:AF941"/>
    <mergeCell ref="F943:T943"/>
    <mergeCell ref="U943:Z943"/>
    <mergeCell ref="AA943:AF943"/>
    <mergeCell ref="F929:T929"/>
    <mergeCell ref="F930:T930"/>
    <mergeCell ref="F931:T931"/>
    <mergeCell ref="W875:AC875"/>
    <mergeCell ref="M846:V846"/>
    <mergeCell ref="W843:AC843"/>
    <mergeCell ref="J849:V849"/>
    <mergeCell ref="AC893:AH893"/>
    <mergeCell ref="W855:AC855"/>
    <mergeCell ref="AC892:AH892"/>
    <mergeCell ref="W846:AC846"/>
    <mergeCell ref="W867:AC867"/>
    <mergeCell ref="W862:AC862"/>
    <mergeCell ref="W851:AC851"/>
    <mergeCell ref="T858:V858"/>
    <mergeCell ref="T860:V860"/>
    <mergeCell ref="W849:AC84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BD902:BE902"/>
    <mergeCell ref="M877:V877"/>
    <mergeCell ref="W869:AC869"/>
    <mergeCell ref="Z901:AE901"/>
    <mergeCell ref="AZ851:BA851"/>
    <mergeCell ref="W876:AC876"/>
    <mergeCell ref="M861:V861"/>
    <mergeCell ref="W845:AC845"/>
    <mergeCell ref="W854:AC854"/>
    <mergeCell ref="BD898:BE898"/>
    <mergeCell ref="BD900:BE900"/>
    <mergeCell ref="BD901:BE901"/>
    <mergeCell ref="BD899:BE899"/>
    <mergeCell ref="X777:AB777"/>
    <mergeCell ref="M875:V875"/>
    <mergeCell ref="W877:AC877"/>
    <mergeCell ref="W853:AC853"/>
    <mergeCell ref="AC886:AH886"/>
    <mergeCell ref="W874:AC874"/>
    <mergeCell ref="M871:V871"/>
    <mergeCell ref="W870:AC870"/>
    <mergeCell ref="Y823:AB824"/>
    <mergeCell ref="M829:P829"/>
    <mergeCell ref="Z815:AE815"/>
    <mergeCell ref="Z808:AE808"/>
    <mergeCell ref="Q832:T832"/>
    <mergeCell ref="X794:AB794"/>
    <mergeCell ref="T796:W796"/>
    <mergeCell ref="AG830:AJ830"/>
    <mergeCell ref="J788:N788"/>
    <mergeCell ref="Z818:AE818"/>
    <mergeCell ref="W857:AC857"/>
    <mergeCell ref="W859:AC859"/>
    <mergeCell ref="Y827:AB827"/>
    <mergeCell ref="O796:S796"/>
    <mergeCell ref="M825:P825"/>
    <mergeCell ref="Y801:AC801"/>
    <mergeCell ref="Y832:AB832"/>
    <mergeCell ref="P816:Y816"/>
    <mergeCell ref="U832:X832"/>
    <mergeCell ref="M832:P832"/>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C831:AF831"/>
    <mergeCell ref="Q829:T829"/>
    <mergeCell ref="C825:H825"/>
    <mergeCell ref="AG828:AJ828"/>
    <mergeCell ref="Q830:T830"/>
    <mergeCell ref="Z807:AE807"/>
    <mergeCell ref="AG831:AJ831"/>
    <mergeCell ref="O774:S774"/>
    <mergeCell ref="O794:S794"/>
    <mergeCell ref="AC793:AG793"/>
    <mergeCell ref="X775:AB775"/>
    <mergeCell ref="X776:AB776"/>
    <mergeCell ref="AH739:AJ739"/>
    <mergeCell ref="AH740:AJ740"/>
    <mergeCell ref="M831:P831"/>
    <mergeCell ref="J793:N793"/>
    <mergeCell ref="O797:S797"/>
    <mergeCell ref="Q827:T827"/>
    <mergeCell ref="J791:N791"/>
    <mergeCell ref="X792:AB792"/>
    <mergeCell ref="X793:AB793"/>
    <mergeCell ref="T783:W786"/>
    <mergeCell ref="U825:X825"/>
    <mergeCell ref="M823:P824"/>
    <mergeCell ref="O791:S791"/>
    <mergeCell ref="Z817:AE817"/>
    <mergeCell ref="X795:AB795"/>
    <mergeCell ref="J783:N786"/>
    <mergeCell ref="C826:H826"/>
    <mergeCell ref="T795:W795"/>
    <mergeCell ref="AC796:AG796"/>
    <mergeCell ref="AC788:AG788"/>
    <mergeCell ref="M827:P827"/>
    <mergeCell ref="AG823:AJ824"/>
    <mergeCell ref="AC797:AG797"/>
    <mergeCell ref="AC787:AG787"/>
    <mergeCell ref="O788:S788"/>
    <mergeCell ref="O795:S795"/>
    <mergeCell ref="AC791:AG791"/>
    <mergeCell ref="AC792:AG792"/>
    <mergeCell ref="O787:S787"/>
    <mergeCell ref="Q826:T826"/>
    <mergeCell ref="J797:N797"/>
    <mergeCell ref="J795:N795"/>
    <mergeCell ref="J789:N789"/>
    <mergeCell ref="C827:H827"/>
    <mergeCell ref="AC826:AF826"/>
    <mergeCell ref="AC827:AF827"/>
    <mergeCell ref="M830:P830"/>
    <mergeCell ref="T791:W791"/>
    <mergeCell ref="Y800:AC800"/>
    <mergeCell ref="AO633:AS633"/>
    <mergeCell ref="AO628:AS628"/>
    <mergeCell ref="AO631:AS631"/>
    <mergeCell ref="C564:L564"/>
    <mergeCell ref="M564:P564"/>
    <mergeCell ref="C565:L565"/>
    <mergeCell ref="AM565:AS565"/>
    <mergeCell ref="H614:R614"/>
    <mergeCell ref="B718:F718"/>
    <mergeCell ref="G720:J720"/>
    <mergeCell ref="B721:F721"/>
    <mergeCell ref="B727:F727"/>
    <mergeCell ref="X723:AB723"/>
    <mergeCell ref="T719:W719"/>
    <mergeCell ref="O724:S724"/>
    <mergeCell ref="T725:W725"/>
    <mergeCell ref="O718:S718"/>
    <mergeCell ref="O720:S720"/>
    <mergeCell ref="G714:J717"/>
    <mergeCell ref="C628:L628"/>
    <mergeCell ref="G655:L655"/>
    <mergeCell ref="Z613:AE613"/>
    <mergeCell ref="H648:R648"/>
    <mergeCell ref="G653:R653"/>
    <mergeCell ref="O714:S717"/>
    <mergeCell ref="Z654:AK654"/>
    <mergeCell ref="G645:R645"/>
    <mergeCell ref="G679:L679"/>
    <mergeCell ref="Z651:AK651"/>
    <mergeCell ref="AC777:AG777"/>
    <mergeCell ref="Q823:T824"/>
    <mergeCell ref="Z809:AE809"/>
    <mergeCell ref="Q564:S564"/>
    <mergeCell ref="M561:P561"/>
    <mergeCell ref="M557:P557"/>
    <mergeCell ref="AM564:AS564"/>
    <mergeCell ref="AM563:AS563"/>
    <mergeCell ref="AI581:AK581"/>
    <mergeCell ref="Z601:AK601"/>
    <mergeCell ref="W556:Y556"/>
    <mergeCell ref="AE564:AH564"/>
    <mergeCell ref="M558:P558"/>
    <mergeCell ref="G571:R571"/>
    <mergeCell ref="AM557:AS557"/>
    <mergeCell ref="T557:V557"/>
    <mergeCell ref="X773:AB773"/>
    <mergeCell ref="O789:S789"/>
    <mergeCell ref="J775:N775"/>
    <mergeCell ref="AC776:AG776"/>
    <mergeCell ref="J769:N772"/>
    <mergeCell ref="AC727:AG727"/>
    <mergeCell ref="AC728:AG728"/>
    <mergeCell ref="X721:AB721"/>
    <mergeCell ref="X727:AB727"/>
    <mergeCell ref="AC738:AG738"/>
    <mergeCell ref="H664:R664"/>
    <mergeCell ref="AH751:AJ751"/>
    <mergeCell ref="G643:R643"/>
    <mergeCell ref="AC783:AG786"/>
    <mergeCell ref="N575:O575"/>
    <mergeCell ref="G569:R569"/>
    <mergeCell ref="B729:F729"/>
    <mergeCell ref="AI560:AL560"/>
    <mergeCell ref="T562:V562"/>
    <mergeCell ref="AI565:AL565"/>
    <mergeCell ref="N583:O583"/>
    <mergeCell ref="G661:R661"/>
    <mergeCell ref="G593:R593"/>
    <mergeCell ref="G579:R579"/>
    <mergeCell ref="G604:R604"/>
    <mergeCell ref="Z604:AK604"/>
    <mergeCell ref="AE563:AH563"/>
    <mergeCell ref="C562:L562"/>
    <mergeCell ref="Q560:S560"/>
    <mergeCell ref="Q565:S565"/>
    <mergeCell ref="Q561:S561"/>
    <mergeCell ref="P581:R581"/>
    <mergeCell ref="AI572:AK572"/>
    <mergeCell ref="AA582:AK582"/>
    <mergeCell ref="AI613:AK613"/>
    <mergeCell ref="AI563:AL563"/>
    <mergeCell ref="Z562:AD562"/>
    <mergeCell ref="Z563:AD563"/>
    <mergeCell ref="AI564:AL564"/>
    <mergeCell ref="AH726:AJ726"/>
    <mergeCell ref="G719:J719"/>
    <mergeCell ref="N649:O649"/>
    <mergeCell ref="G644:R644"/>
    <mergeCell ref="X724:AB724"/>
    <mergeCell ref="AH722:AJ722"/>
    <mergeCell ref="G724:J724"/>
    <mergeCell ref="G654:R654"/>
    <mergeCell ref="T628:V628"/>
    <mergeCell ref="C557:L557"/>
    <mergeCell ref="AH537:AK537"/>
    <mergeCell ref="AC534:AF534"/>
    <mergeCell ref="AH533:AK533"/>
    <mergeCell ref="G568:R568"/>
    <mergeCell ref="M574:R574"/>
    <mergeCell ref="W562:Y562"/>
    <mergeCell ref="W563:Y563"/>
    <mergeCell ref="W564:Y564"/>
    <mergeCell ref="T560:V560"/>
    <mergeCell ref="G570:R570"/>
    <mergeCell ref="Z561:AD561"/>
    <mergeCell ref="C561:L561"/>
    <mergeCell ref="D468:V468"/>
    <mergeCell ref="Z559:AD559"/>
    <mergeCell ref="Z560:AD560"/>
    <mergeCell ref="AC522:AF522"/>
    <mergeCell ref="AC531:AF531"/>
    <mergeCell ref="AE557:AH557"/>
    <mergeCell ref="AH502:AK502"/>
    <mergeCell ref="AE554:AH554"/>
    <mergeCell ref="Z556:AD556"/>
    <mergeCell ref="Q558:S558"/>
    <mergeCell ref="Q551:S553"/>
    <mergeCell ref="T551:V553"/>
    <mergeCell ref="W551:Y553"/>
    <mergeCell ref="AC532:AF532"/>
    <mergeCell ref="AH523:AK523"/>
    <mergeCell ref="AH517:AK517"/>
    <mergeCell ref="AH527:AK527"/>
    <mergeCell ref="AC517:AF517"/>
    <mergeCell ref="AH501:AK501"/>
    <mergeCell ref="B723:F723"/>
    <mergeCell ref="T722:W722"/>
    <mergeCell ref="B639:AN639"/>
    <mergeCell ref="B640:AN640"/>
    <mergeCell ref="B641:AN641"/>
    <mergeCell ref="AC724:AG724"/>
    <mergeCell ref="AE561:AH561"/>
    <mergeCell ref="AM562:AS562"/>
    <mergeCell ref="Q563:S563"/>
    <mergeCell ref="G721:J721"/>
    <mergeCell ref="G722:J722"/>
    <mergeCell ref="G662:R662"/>
    <mergeCell ref="AE699:AI699"/>
    <mergeCell ref="AA648:AK648"/>
    <mergeCell ref="AO632:AS632"/>
    <mergeCell ref="AK630:AN630"/>
    <mergeCell ref="Q628:S628"/>
    <mergeCell ref="Q629:S629"/>
    <mergeCell ref="Q630:S630"/>
    <mergeCell ref="Q631:S631"/>
    <mergeCell ref="Q632:S632"/>
    <mergeCell ref="Q633:S633"/>
    <mergeCell ref="Q634:S634"/>
    <mergeCell ref="AC627:AE627"/>
    <mergeCell ref="M627:P627"/>
    <mergeCell ref="H606:R606"/>
    <mergeCell ref="AF574:AK574"/>
    <mergeCell ref="Z585:AK585"/>
    <mergeCell ref="AC632:AE632"/>
    <mergeCell ref="AH724:AJ724"/>
    <mergeCell ref="T720:W720"/>
    <mergeCell ref="Z671:AE671"/>
    <mergeCell ref="AA316:AF316"/>
    <mergeCell ref="AA297:AK297"/>
    <mergeCell ref="N370:Q370"/>
    <mergeCell ref="AA339:AF339"/>
    <mergeCell ref="AA319:AK319"/>
    <mergeCell ref="AA323:AF323"/>
    <mergeCell ref="H320:R320"/>
    <mergeCell ref="H296:R296"/>
    <mergeCell ref="H323:M323"/>
    <mergeCell ref="AA330:AK330"/>
    <mergeCell ref="H324:M324"/>
    <mergeCell ref="AA325:AK325"/>
    <mergeCell ref="T564:V564"/>
    <mergeCell ref="P346:AE346"/>
    <mergeCell ref="P344:AE344"/>
    <mergeCell ref="Q394:U394"/>
    <mergeCell ref="AC538:AF538"/>
    <mergeCell ref="AC540:AF540"/>
    <mergeCell ref="AC456:AF456"/>
    <mergeCell ref="D444:AF444"/>
    <mergeCell ref="O535:AA535"/>
    <mergeCell ref="AH535:AK535"/>
    <mergeCell ref="AG391:AJ391"/>
    <mergeCell ref="AE562:AH562"/>
    <mergeCell ref="AH542:AK542"/>
    <mergeCell ref="AC542:AF542"/>
    <mergeCell ref="AI557:AL557"/>
    <mergeCell ref="Q562:S562"/>
    <mergeCell ref="W557:Y557"/>
    <mergeCell ref="W466:Y466"/>
    <mergeCell ref="W473:Y473"/>
    <mergeCell ref="D469:V469"/>
    <mergeCell ref="M243:AE243"/>
    <mergeCell ref="D204:M204"/>
    <mergeCell ref="P204:U204"/>
    <mergeCell ref="AH195:AI195"/>
    <mergeCell ref="AH196:AI196"/>
    <mergeCell ref="M237:AE237"/>
    <mergeCell ref="AI227:AJ227"/>
    <mergeCell ref="AH197:AI19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7:M307"/>
    <mergeCell ref="AA288:AK288"/>
    <mergeCell ref="H315:M315"/>
    <mergeCell ref="H321:R321"/>
    <mergeCell ref="H322:R322"/>
    <mergeCell ref="AA321:AK321"/>
    <mergeCell ref="M265:T265"/>
    <mergeCell ref="AA314:AK314"/>
    <mergeCell ref="AA313:AK313"/>
    <mergeCell ref="H319:R319"/>
    <mergeCell ref="Z199:AA199"/>
    <mergeCell ref="AC234:AE234"/>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AI178:AK178"/>
    <mergeCell ref="M234:T234"/>
    <mergeCell ref="W234:X234"/>
    <mergeCell ref="AB212:AC212"/>
    <mergeCell ref="M236:R236"/>
    <mergeCell ref="Z236:AE236"/>
    <mergeCell ref="D220:Z220"/>
    <mergeCell ref="T193:AI193"/>
    <mergeCell ref="D270:H270"/>
    <mergeCell ref="X270:AC270"/>
    <mergeCell ref="U255:W255"/>
    <mergeCell ref="P299:R299"/>
    <mergeCell ref="H306:R306"/>
    <mergeCell ref="H288:R288"/>
    <mergeCell ref="AA290:AK290"/>
    <mergeCell ref="Z263:AE263"/>
    <mergeCell ref="M263:R263"/>
    <mergeCell ref="U176:V176"/>
    <mergeCell ref="AH194:AI194"/>
    <mergeCell ref="AF178:AG178"/>
    <mergeCell ref="M252:AE252"/>
    <mergeCell ref="AA291:AF291"/>
    <mergeCell ref="AI291:AK291"/>
    <mergeCell ref="M259:AE259"/>
    <mergeCell ref="AA293:AK293"/>
    <mergeCell ref="W261:X261"/>
    <mergeCell ref="U263:W263"/>
    <mergeCell ref="M257:T257"/>
    <mergeCell ref="M256:AE256"/>
    <mergeCell ref="M233:AE233"/>
    <mergeCell ref="N191:AE192"/>
    <mergeCell ref="D211:M211"/>
    <mergeCell ref="AI228:AJ228"/>
    <mergeCell ref="AI226:AJ226"/>
    <mergeCell ref="AF243:AK243"/>
    <mergeCell ref="T196:U196"/>
    <mergeCell ref="T189:AE189"/>
    <mergeCell ref="T195:U195"/>
    <mergeCell ref="E187:AE188"/>
    <mergeCell ref="I189:P189"/>
    <mergeCell ref="Z247:AE247"/>
    <mergeCell ref="W245:X245"/>
    <mergeCell ref="U247:W247"/>
    <mergeCell ref="AI315:AK315"/>
    <mergeCell ref="AA304:AK304"/>
    <mergeCell ref="G113:H113"/>
    <mergeCell ref="Y120:AK120"/>
    <mergeCell ref="C115:K115"/>
    <mergeCell ref="O160:T160"/>
    <mergeCell ref="O161:AH161"/>
    <mergeCell ref="D164:AH164"/>
    <mergeCell ref="M249:T249"/>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H309:R309"/>
    <mergeCell ref="AA309:AK309"/>
    <mergeCell ref="P113:S113"/>
    <mergeCell ref="I185:AE185"/>
    <mergeCell ref="AF251:AK251"/>
    <mergeCell ref="M244:AE244"/>
    <mergeCell ref="I190:N190"/>
    <mergeCell ref="M247:R247"/>
    <mergeCell ref="A86:AT87"/>
    <mergeCell ref="A89:AT90"/>
    <mergeCell ref="A92:AT98"/>
    <mergeCell ref="A100:AT103"/>
    <mergeCell ref="I184:AE184"/>
    <mergeCell ref="X176:Y176"/>
    <mergeCell ref="X180:Y180"/>
    <mergeCell ref="AP205:AQ205"/>
    <mergeCell ref="AA307:AF307"/>
    <mergeCell ref="H313:R313"/>
    <mergeCell ref="H304:R304"/>
    <mergeCell ref="H303:R303"/>
    <mergeCell ref="AA308:AF308"/>
    <mergeCell ref="AA305:AK305"/>
    <mergeCell ref="M261:T261"/>
    <mergeCell ref="AH262:AK262"/>
    <mergeCell ref="AA311:AK311"/>
    <mergeCell ref="AA306:AK306"/>
    <mergeCell ref="AA303:AK303"/>
    <mergeCell ref="M264:AE264"/>
    <mergeCell ref="L280:AD280"/>
    <mergeCell ref="L275:AD275"/>
    <mergeCell ref="H290:R290"/>
    <mergeCell ref="M245:T245"/>
    <mergeCell ref="D208:M208"/>
    <mergeCell ref="Y117:AK117"/>
    <mergeCell ref="T190:AE190"/>
    <mergeCell ref="M232:AK232"/>
    <mergeCell ref="Y123:AK123"/>
    <mergeCell ref="AC245:AE245"/>
    <mergeCell ref="M246:AE246"/>
    <mergeCell ref="AA238:AK238"/>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L274:AJ274"/>
    <mergeCell ref="H289:R289"/>
    <mergeCell ref="H291:M291"/>
    <mergeCell ref="H299:M299"/>
    <mergeCell ref="H300:M300"/>
    <mergeCell ref="AA257:AK257"/>
    <mergeCell ref="M260:AE260"/>
    <mergeCell ref="AA265:AK265"/>
    <mergeCell ref="H295:R295"/>
    <mergeCell ref="H336:R336"/>
    <mergeCell ref="AA336:AK336"/>
    <mergeCell ref="AA331:AF331"/>
    <mergeCell ref="V382:W382"/>
    <mergeCell ref="Y364:Z364"/>
    <mergeCell ref="N378:P378"/>
    <mergeCell ref="AG401:AJ401"/>
    <mergeCell ref="D437:AF437"/>
    <mergeCell ref="D467:V467"/>
    <mergeCell ref="J387:U387"/>
    <mergeCell ref="AA337:AK337"/>
    <mergeCell ref="AC385:AJ385"/>
    <mergeCell ref="H339:M339"/>
    <mergeCell ref="D450:AF450"/>
    <mergeCell ref="D451:AJ452"/>
    <mergeCell ref="S402:U402"/>
    <mergeCell ref="P425:Q425"/>
    <mergeCell ref="I418:K418"/>
    <mergeCell ref="S413:T413"/>
    <mergeCell ref="H338:R338"/>
    <mergeCell ref="AG393:AJ393"/>
    <mergeCell ref="AG442:AJ442"/>
    <mergeCell ref="AG377:AH377"/>
    <mergeCell ref="E418:G418"/>
    <mergeCell ref="AD411:AE411"/>
    <mergeCell ref="F427:AH428"/>
    <mergeCell ref="V377:W377"/>
    <mergeCell ref="N363:O363"/>
    <mergeCell ref="I392:N392"/>
    <mergeCell ref="M357:N357"/>
    <mergeCell ref="J385:U385"/>
    <mergeCell ref="V381:W381"/>
    <mergeCell ref="N373:AF374"/>
    <mergeCell ref="AJ355:AK355"/>
    <mergeCell ref="H325:R325"/>
    <mergeCell ref="AI331:AK331"/>
    <mergeCell ref="H330:R330"/>
    <mergeCell ref="AA324:AF324"/>
    <mergeCell ref="H328:R328"/>
    <mergeCell ref="AI605:AK605"/>
    <mergeCell ref="BE603:BF603"/>
    <mergeCell ref="H293:R293"/>
    <mergeCell ref="P315:R315"/>
    <mergeCell ref="AA312:AK312"/>
    <mergeCell ref="M358:N358"/>
    <mergeCell ref="AI339:AK339"/>
    <mergeCell ref="H329:R329"/>
    <mergeCell ref="AA340:AF340"/>
    <mergeCell ref="AA335:AK335"/>
    <mergeCell ref="AI299:AK299"/>
    <mergeCell ref="H297:R297"/>
    <mergeCell ref="AA298:AK298"/>
    <mergeCell ref="H317:R317"/>
    <mergeCell ref="P339:R339"/>
    <mergeCell ref="H333:R333"/>
    <mergeCell ref="AC535:AF535"/>
    <mergeCell ref="AI554:AL554"/>
    <mergeCell ref="O532:AA532"/>
    <mergeCell ref="AH504:AK504"/>
    <mergeCell ref="AA327:AK327"/>
    <mergeCell ref="H335:R335"/>
    <mergeCell ref="H332:M332"/>
    <mergeCell ref="AA329:AK329"/>
    <mergeCell ref="P331:R331"/>
    <mergeCell ref="CH596:CL596"/>
    <mergeCell ref="CH601:CL601"/>
    <mergeCell ref="BS603:BW603"/>
    <mergeCell ref="BN604:BR604"/>
    <mergeCell ref="BN598:BR598"/>
    <mergeCell ref="BG603:BH603"/>
    <mergeCell ref="BS605:BW605"/>
    <mergeCell ref="BX605:CB605"/>
    <mergeCell ref="BI601:BJ601"/>
    <mergeCell ref="BI600:BJ600"/>
    <mergeCell ref="BN603:BR603"/>
    <mergeCell ref="BS604:BW604"/>
    <mergeCell ref="CC605:CG605"/>
    <mergeCell ref="BS602:BW602"/>
    <mergeCell ref="BI605:BJ605"/>
    <mergeCell ref="BK596:BL596"/>
    <mergeCell ref="AI323:AK323"/>
    <mergeCell ref="Z571:AK571"/>
    <mergeCell ref="Z569:AK569"/>
    <mergeCell ref="O529:AA529"/>
    <mergeCell ref="M556:P556"/>
    <mergeCell ref="AC508:AF508"/>
    <mergeCell ref="AG441:AJ441"/>
    <mergeCell ref="AH528:AK528"/>
    <mergeCell ref="AE559:AH559"/>
    <mergeCell ref="AI559:AL559"/>
    <mergeCell ref="AH520:AK520"/>
    <mergeCell ref="AC537:AF537"/>
    <mergeCell ref="AC386:AJ386"/>
    <mergeCell ref="Z570:AK570"/>
    <mergeCell ref="Z568:AK568"/>
    <mergeCell ref="AC533:AF533"/>
    <mergeCell ref="CC606:CG606"/>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CC601:CG601"/>
    <mergeCell ref="CC602:CG602"/>
    <mergeCell ref="CC597:CG597"/>
    <mergeCell ref="CC598:CG598"/>
    <mergeCell ref="BG604:BH604"/>
    <mergeCell ref="CH597:CL597"/>
    <mergeCell ref="BX598:CB598"/>
    <mergeCell ref="CH598:CL598"/>
    <mergeCell ref="BS596:BW596"/>
    <mergeCell ref="BK604:BL604"/>
    <mergeCell ref="BX597:CB597"/>
    <mergeCell ref="BX603:CB603"/>
    <mergeCell ref="BK598:BL598"/>
    <mergeCell ref="BG611:BH611"/>
    <mergeCell ref="BK607:BL607"/>
    <mergeCell ref="BN607:BR607"/>
    <mergeCell ref="BS607:BW607"/>
    <mergeCell ref="BN609:BR609"/>
    <mergeCell ref="BN610:BR610"/>
    <mergeCell ref="BK601:BL601"/>
    <mergeCell ref="BG599:BH599"/>
    <mergeCell ref="BX607:CB607"/>
    <mergeCell ref="BS598:BW598"/>
    <mergeCell ref="BS599:BW599"/>
    <mergeCell ref="BX599:CB599"/>
    <mergeCell ref="BX604:CB604"/>
    <mergeCell ref="BG609:BH609"/>
    <mergeCell ref="BN606:BR606"/>
    <mergeCell ref="BK606:BL606"/>
    <mergeCell ref="BK603:BL603"/>
    <mergeCell ref="BI602:BJ602"/>
    <mergeCell ref="BI598:BJ598"/>
    <mergeCell ref="BK599:BL599"/>
    <mergeCell ref="BN599:BR599"/>
    <mergeCell ref="BI607:BJ607"/>
    <mergeCell ref="BK610:BL610"/>
    <mergeCell ref="BG606:BH606"/>
    <mergeCell ref="BI599:BJ599"/>
    <mergeCell ref="BN600:BR600"/>
    <mergeCell ref="X738:AB738"/>
    <mergeCell ref="X729:AB729"/>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BE609:BF609"/>
    <mergeCell ref="BE607:BF607"/>
    <mergeCell ref="BE608:BF608"/>
    <mergeCell ref="BE610:BF610"/>
    <mergeCell ref="BN601:BR601"/>
    <mergeCell ref="BN597:BR597"/>
    <mergeCell ref="BG597:BH597"/>
    <mergeCell ref="BI597:BJ597"/>
    <mergeCell ref="BE629:BF629"/>
    <mergeCell ref="BG629:BH629"/>
    <mergeCell ref="BI629:BJ629"/>
    <mergeCell ref="BK629:BL629"/>
    <mergeCell ref="BE626:BF626"/>
    <mergeCell ref="BG626:BH626"/>
    <mergeCell ref="BG598:BH598"/>
    <mergeCell ref="BG607:BH607"/>
    <mergeCell ref="BS610:BW610"/>
    <mergeCell ref="BE602:BF602"/>
    <mergeCell ref="BE599:BF599"/>
    <mergeCell ref="BN596:BR596"/>
    <mergeCell ref="G605:L605"/>
    <mergeCell ref="G602:R602"/>
    <mergeCell ref="N599:O599"/>
    <mergeCell ref="AA598:AK598"/>
    <mergeCell ref="Z587:AK587"/>
    <mergeCell ref="BE604:BF604"/>
    <mergeCell ref="BE606:BF606"/>
    <mergeCell ref="BE597:BF597"/>
    <mergeCell ref="BS624:BW624"/>
    <mergeCell ref="N591:O591"/>
    <mergeCell ref="AA590:AK590"/>
    <mergeCell ref="AI589:AK589"/>
    <mergeCell ref="Z596:AK596"/>
    <mergeCell ref="H598:R598"/>
    <mergeCell ref="G597:L597"/>
    <mergeCell ref="AG591:AH591"/>
    <mergeCell ref="BG596:BH596"/>
    <mergeCell ref="BE600:BF600"/>
    <mergeCell ref="AA606:AK606"/>
    <mergeCell ref="BE605:BF605"/>
    <mergeCell ref="Q554:S554"/>
    <mergeCell ref="Q557:S557"/>
    <mergeCell ref="Z557:AD557"/>
    <mergeCell ref="AE556:AH556"/>
    <mergeCell ref="AH532:AK532"/>
    <mergeCell ref="AH515:AK515"/>
    <mergeCell ref="AC516:AF516"/>
    <mergeCell ref="AC521:AF521"/>
    <mergeCell ref="Z555:AD555"/>
    <mergeCell ref="T554:V554"/>
    <mergeCell ref="P663:R663"/>
    <mergeCell ref="G659:R659"/>
    <mergeCell ref="BS623:BW623"/>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W561:Y561"/>
    <mergeCell ref="T558:V558"/>
    <mergeCell ref="AI562:AL562"/>
    <mergeCell ref="T559:V559"/>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H536:AK536"/>
    <mergeCell ref="AI558:AL558"/>
    <mergeCell ref="Z551:AD553"/>
    <mergeCell ref="Q556:S556"/>
    <mergeCell ref="W558:Y558"/>
    <mergeCell ref="AE558:AH558"/>
    <mergeCell ref="AC523:AF523"/>
    <mergeCell ref="AC510:AF510"/>
    <mergeCell ref="AH510:AK510"/>
    <mergeCell ref="AC512:AF512"/>
    <mergeCell ref="AH512:AK512"/>
    <mergeCell ref="S377:T377"/>
    <mergeCell ref="J388:U388"/>
    <mergeCell ref="AA320:AK320"/>
    <mergeCell ref="M356:N356"/>
    <mergeCell ref="AB215:AL215"/>
    <mergeCell ref="D406:AJ407"/>
    <mergeCell ref="W470:Y470"/>
    <mergeCell ref="AE402:AJ402"/>
    <mergeCell ref="K404:AJ404"/>
    <mergeCell ref="AE424:AF424"/>
    <mergeCell ref="AC454:AF454"/>
    <mergeCell ref="D442:AF442"/>
    <mergeCell ref="Q393:U393"/>
    <mergeCell ref="AG380:AH380"/>
    <mergeCell ref="P291:R291"/>
    <mergeCell ref="H311:R311"/>
    <mergeCell ref="H308:M308"/>
    <mergeCell ref="P307:R307"/>
    <mergeCell ref="H305:R305"/>
    <mergeCell ref="AA300:AF300"/>
    <mergeCell ref="H287:R287"/>
    <mergeCell ref="T267:X267"/>
    <mergeCell ref="E420:AJ420"/>
    <mergeCell ref="W418:Y418"/>
    <mergeCell ref="Z432:AA432"/>
    <mergeCell ref="W468:Y468"/>
    <mergeCell ref="AF430:AG430"/>
    <mergeCell ref="AA317:AK317"/>
    <mergeCell ref="H327:R327"/>
    <mergeCell ref="AA333:AK333"/>
    <mergeCell ref="AC370:AF370"/>
    <mergeCell ref="P348:Z348"/>
    <mergeCell ref="AH538:AK538"/>
    <mergeCell ref="AH524:AK524"/>
    <mergeCell ref="AH525:AK525"/>
    <mergeCell ref="AH534:AK534"/>
    <mergeCell ref="AC504:AF504"/>
    <mergeCell ref="D449:AF449"/>
    <mergeCell ref="B501:H502"/>
    <mergeCell ref="O523:AA523"/>
    <mergeCell ref="AC519:AF519"/>
    <mergeCell ref="B514:H516"/>
    <mergeCell ref="AC509:AF509"/>
    <mergeCell ref="AC525:AF525"/>
    <mergeCell ref="AH503:AK503"/>
    <mergeCell ref="AC500:AF500"/>
    <mergeCell ref="L508:AB508"/>
    <mergeCell ref="AH529:AK529"/>
    <mergeCell ref="D465:V465"/>
    <mergeCell ref="M495:P495"/>
    <mergeCell ref="AC501:AF501"/>
    <mergeCell ref="AH526:AK526"/>
    <mergeCell ref="AC518:AF518"/>
    <mergeCell ref="AC529:AF529"/>
    <mergeCell ref="AC528:AF528"/>
    <mergeCell ref="AH506:AK506"/>
    <mergeCell ref="Q485:AK485"/>
    <mergeCell ref="AC499:AK499"/>
    <mergeCell ref="Q494:AK494"/>
    <mergeCell ref="D445:AF445"/>
    <mergeCell ref="D446:AF446"/>
    <mergeCell ref="D447:AF447"/>
    <mergeCell ref="AH508:AK508"/>
    <mergeCell ref="B551:L553"/>
    <mergeCell ref="M551:P553"/>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Q491:AK491"/>
    <mergeCell ref="AG447:AJ447"/>
    <mergeCell ref="AH495:AK495"/>
    <mergeCell ref="AG448:AJ448"/>
    <mergeCell ref="AC507:AF507"/>
    <mergeCell ref="AC536:AF536"/>
    <mergeCell ref="AH530:AK530"/>
    <mergeCell ref="B503:H508"/>
    <mergeCell ref="AH507:AK507"/>
    <mergeCell ref="AC526:AF526"/>
    <mergeCell ref="AH531:AK531"/>
    <mergeCell ref="AH540:AK540"/>
    <mergeCell ref="AC515:AF515"/>
    <mergeCell ref="AC514:AF514"/>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521:AK521"/>
    <mergeCell ref="AF628:AJ628"/>
    <mergeCell ref="AG657:AH657"/>
    <mergeCell ref="AM560:AS560"/>
    <mergeCell ref="AG446:AJ446"/>
    <mergeCell ref="D440:AF440"/>
    <mergeCell ref="AG438:AJ438"/>
    <mergeCell ref="AM555:AS555"/>
    <mergeCell ref="AG394:AJ394"/>
    <mergeCell ref="AH516:AK516"/>
    <mergeCell ref="AM554:AS554"/>
    <mergeCell ref="AC505:AF505"/>
    <mergeCell ref="W467:Y467"/>
    <mergeCell ref="Q487:AK487"/>
    <mergeCell ref="Q486:AK486"/>
    <mergeCell ref="CM621:CQ621"/>
    <mergeCell ref="BN622:BR622"/>
    <mergeCell ref="BS622:BW622"/>
    <mergeCell ref="BX622:CB622"/>
    <mergeCell ref="CC622:CG622"/>
    <mergeCell ref="CH622:CL622"/>
    <mergeCell ref="CM622:CQ622"/>
    <mergeCell ref="BN623:BR623"/>
    <mergeCell ref="CH623:CL623"/>
    <mergeCell ref="CM623:CQ623"/>
    <mergeCell ref="AH509:AK509"/>
    <mergeCell ref="AC503:AF503"/>
    <mergeCell ref="M554:P554"/>
    <mergeCell ref="AH519:AK519"/>
    <mergeCell ref="D470:V470"/>
    <mergeCell ref="AC513:AF513"/>
    <mergeCell ref="AH513:AK513"/>
    <mergeCell ref="AH505:AK505"/>
    <mergeCell ref="AC530:AF530"/>
    <mergeCell ref="O526:AA526"/>
    <mergeCell ref="B517:H519"/>
    <mergeCell ref="AC524:AF524"/>
    <mergeCell ref="AH500:AK500"/>
    <mergeCell ref="M555:P555"/>
    <mergeCell ref="C556:L556"/>
    <mergeCell ref="AI555:AL555"/>
    <mergeCell ref="C554:L554"/>
    <mergeCell ref="C555:L555"/>
    <mergeCell ref="C558:L558"/>
    <mergeCell ref="Q559:S559"/>
    <mergeCell ref="AI556:AL556"/>
    <mergeCell ref="C560:L560"/>
    <mergeCell ref="DM626:DQ626"/>
    <mergeCell ref="DR626:DV626"/>
    <mergeCell ref="CS627:CW627"/>
    <mergeCell ref="CX627:DB627"/>
    <mergeCell ref="DC627:DG627"/>
    <mergeCell ref="DH627:DL627"/>
    <mergeCell ref="DM627:DQ627"/>
    <mergeCell ref="DR627:DV627"/>
    <mergeCell ref="CS624:CW624"/>
    <mergeCell ref="CX624:DB624"/>
    <mergeCell ref="DC624:DG624"/>
    <mergeCell ref="DH624:DL624"/>
    <mergeCell ref="DC626:DG626"/>
    <mergeCell ref="DH626:DL626"/>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DC620:DG620"/>
    <mergeCell ref="DH620:DL620"/>
    <mergeCell ref="DM620:DQ620"/>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M636:EQ636"/>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4:EB664"/>
    <mergeCell ref="EC664:EG664"/>
    <mergeCell ref="EH664:EL664"/>
    <mergeCell ref="EC659:EG659"/>
    <mergeCell ref="EH659:EL659"/>
    <mergeCell ref="EM663:EQ663"/>
    <mergeCell ref="ER663:EV663"/>
    <mergeCell ref="EW663:FA663"/>
    <mergeCell ref="EM661:EQ661"/>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B725:F725"/>
    <mergeCell ref="B724:F724"/>
    <mergeCell ref="B728:F728"/>
    <mergeCell ref="K727:N727"/>
    <mergeCell ref="K725:N725"/>
    <mergeCell ref="K726:N726"/>
    <mergeCell ref="K728:N728"/>
    <mergeCell ref="K729:N729"/>
    <mergeCell ref="K724:N724"/>
    <mergeCell ref="X728:AB728"/>
    <mergeCell ref="AH743:AJ743"/>
    <mergeCell ref="AH744:AJ744"/>
    <mergeCell ref="B738:F738"/>
    <mergeCell ref="B739:F739"/>
    <mergeCell ref="B737:F737"/>
    <mergeCell ref="B735:F735"/>
    <mergeCell ref="X735:AB735"/>
    <mergeCell ref="X736:AB736"/>
    <mergeCell ref="X737:AB737"/>
    <mergeCell ref="DX666:EB666"/>
    <mergeCell ref="EC666:EG666"/>
    <mergeCell ref="EH666:EL666"/>
    <mergeCell ref="AK743:AO743"/>
    <mergeCell ref="AK744:AO744"/>
    <mergeCell ref="X743:AB743"/>
    <mergeCell ref="X744:AB744"/>
    <mergeCell ref="G587:R587"/>
    <mergeCell ref="G586:R586"/>
    <mergeCell ref="G588:R588"/>
    <mergeCell ref="Z579:AK579"/>
    <mergeCell ref="Z578:AK578"/>
    <mergeCell ref="Z580:AK580"/>
    <mergeCell ref="G589:L589"/>
    <mergeCell ref="Z581:AE581"/>
    <mergeCell ref="Z644:AK644"/>
    <mergeCell ref="Z646:AK646"/>
    <mergeCell ref="Z645:AK645"/>
    <mergeCell ref="Z647:AE647"/>
    <mergeCell ref="K719:N719"/>
    <mergeCell ref="K718:N718"/>
    <mergeCell ref="K722:N722"/>
    <mergeCell ref="K723:N723"/>
    <mergeCell ref="K721:N721"/>
    <mergeCell ref="K720:N720"/>
    <mergeCell ref="AG599:AH599"/>
    <mergeCell ref="AI597:AK597"/>
    <mergeCell ref="AG607:AH607"/>
    <mergeCell ref="W633:Y633"/>
    <mergeCell ref="Z610:AK610"/>
    <mergeCell ref="G585:R585"/>
    <mergeCell ref="P589:R58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2" workbookViewId="0">
      <selection activeCell="M104" sqref="M10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374</v>
      </c>
      <c r="D2" s="138" t="s">
        <v>373</v>
      </c>
      <c r="E2" s="138" t="s">
        <v>24</v>
      </c>
      <c r="F2" s="139" t="str">
        <f>Application!B627&amp;Application!C627</f>
        <v>1)CalHFA Perm Loan</v>
      </c>
      <c r="G2" s="139" t="str">
        <f>Application!B628&amp;Application!C628</f>
        <v>2)CalHFA MIP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3025000</v>
      </c>
      <c r="C4" s="147">
        <v>3025000</v>
      </c>
      <c r="D4" s="147"/>
      <c r="E4" s="147">
        <f>C4-SUM(F4:Q4)</f>
        <v>3025000</v>
      </c>
      <c r="F4" s="147"/>
      <c r="G4" s="147"/>
      <c r="H4" s="147"/>
      <c r="I4" s="147"/>
      <c r="J4" s="147"/>
      <c r="K4" s="147"/>
      <c r="L4" s="147"/>
      <c r="M4" s="147"/>
      <c r="N4" s="147"/>
      <c r="O4" s="147"/>
      <c r="P4" s="147"/>
      <c r="Q4" s="147"/>
      <c r="R4" s="550">
        <f>SUM(E4:Q4)</f>
        <v>3025000</v>
      </c>
      <c r="S4" s="148"/>
      <c r="T4" s="148"/>
      <c r="U4" s="143"/>
    </row>
    <row r="5" spans="1:21" s="144" customFormat="1">
      <c r="A5" s="145" t="s">
        <v>28</v>
      </c>
      <c r="B5" s="146">
        <f>SUM(C5+D5)</f>
        <v>91250</v>
      </c>
      <c r="C5" s="147">
        <v>91250</v>
      </c>
      <c r="D5" s="147"/>
      <c r="E5" s="147">
        <f>C5-SUM(F5:H5)</f>
        <v>91250</v>
      </c>
      <c r="F5" s="147"/>
      <c r="G5" s="147"/>
      <c r="H5" s="147"/>
      <c r="I5" s="147"/>
      <c r="J5" s="147"/>
      <c r="K5" s="147"/>
      <c r="L5" s="147"/>
      <c r="M5" s="147"/>
      <c r="N5" s="147"/>
      <c r="O5" s="147"/>
      <c r="P5" s="147"/>
      <c r="Q5" s="147"/>
      <c r="R5" s="550">
        <f>SUM(E5:Q5)</f>
        <v>91250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3116250</v>
      </c>
      <c r="C8" s="146">
        <f t="shared" ref="C8:Q8" si="0">SUM(C4:C7)</f>
        <v>3116250</v>
      </c>
      <c r="D8" s="146">
        <f t="shared" si="0"/>
        <v>0</v>
      </c>
      <c r="E8" s="146">
        <f t="shared" si="0"/>
        <v>3116250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3116250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106400</v>
      </c>
      <c r="C10" s="147">
        <v>106400</v>
      </c>
      <c r="D10" s="147"/>
      <c r="E10" s="147">
        <f>C10-SUM(F10:H10)</f>
        <v>106400</v>
      </c>
      <c r="F10" s="147"/>
      <c r="G10" s="147"/>
      <c r="H10" s="147"/>
      <c r="I10" s="147"/>
      <c r="J10" s="147"/>
      <c r="K10" s="147"/>
      <c r="L10" s="147"/>
      <c r="M10" s="147"/>
      <c r="N10" s="147"/>
      <c r="O10" s="147"/>
      <c r="P10" s="147"/>
      <c r="Q10" s="147"/>
      <c r="R10" s="550">
        <f>SUM(E10:Q10)</f>
        <v>106400</v>
      </c>
      <c r="S10" s="147">
        <v>106400</v>
      </c>
      <c r="T10" s="147"/>
      <c r="U10" s="143"/>
    </row>
    <row r="11" spans="1:21" s="144" customFormat="1">
      <c r="A11" s="149" t="s">
        <v>604</v>
      </c>
      <c r="B11" s="146">
        <f>SUM(C11:D11)</f>
        <v>106400</v>
      </c>
      <c r="C11" s="146">
        <f t="shared" ref="C11:Q11" si="1">SUM(C9:C10)</f>
        <v>106400</v>
      </c>
      <c r="D11" s="146">
        <f t="shared" si="1"/>
        <v>0</v>
      </c>
      <c r="E11" s="146">
        <f t="shared" si="1"/>
        <v>106400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106400</v>
      </c>
      <c r="S11" s="148"/>
      <c r="T11" s="150">
        <f>SUM(T9:T10)</f>
        <v>0</v>
      </c>
      <c r="U11" s="143"/>
    </row>
    <row r="12" spans="1:21" s="144" customFormat="1">
      <c r="A12" s="149" t="s">
        <v>84</v>
      </c>
      <c r="B12" s="146">
        <f t="shared" ref="B12:Q12" si="2">SUM(B8+B11)</f>
        <v>3222650</v>
      </c>
      <c r="C12" s="146">
        <f t="shared" si="2"/>
        <v>3222650</v>
      </c>
      <c r="D12" s="146">
        <f t="shared" si="2"/>
        <v>0</v>
      </c>
      <c r="E12" s="146">
        <f t="shared" si="2"/>
        <v>3222650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3222650</v>
      </c>
      <c r="S12" s="148"/>
      <c r="T12" s="148"/>
      <c r="U12" s="143"/>
    </row>
    <row r="13" spans="1:21" s="144" customFormat="1">
      <c r="A13" s="309" t="s">
        <v>915</v>
      </c>
      <c r="B13" s="146">
        <f>SUM(C13+D13)</f>
        <v>375284.375</v>
      </c>
      <c r="C13" s="147">
        <v>375284.375</v>
      </c>
      <c r="D13" s="147"/>
      <c r="E13" s="147">
        <f>C13-SUM(F13:Q13)</f>
        <v>375284.375</v>
      </c>
      <c r="F13" s="147"/>
      <c r="G13" s="147"/>
      <c r="H13" s="147"/>
      <c r="I13" s="147"/>
      <c r="J13" s="147"/>
      <c r="K13" s="147"/>
      <c r="L13" s="147"/>
      <c r="M13" s="147"/>
      <c r="N13" s="147"/>
      <c r="O13" s="147"/>
      <c r="P13" s="147"/>
      <c r="Q13" s="147"/>
      <c r="R13" s="550">
        <f>SUM(E13:Q13)</f>
        <v>375284.375</v>
      </c>
      <c r="S13" s="147">
        <v>116156.25</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0"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250000</v>
      </c>
      <c r="C29" s="147">
        <v>250000</v>
      </c>
      <c r="D29" s="147"/>
      <c r="E29" s="147">
        <f>C29-SUM(F29:Q29)</f>
        <v>250000</v>
      </c>
      <c r="F29" s="147"/>
      <c r="G29" s="147"/>
      <c r="H29" s="147"/>
      <c r="I29" s="147"/>
      <c r="J29" s="147"/>
      <c r="K29" s="147"/>
      <c r="L29" s="147"/>
      <c r="M29" s="147"/>
      <c r="N29" s="147"/>
      <c r="O29" s="147"/>
      <c r="P29" s="147"/>
      <c r="Q29" s="147"/>
      <c r="R29" s="550">
        <f t="shared" ref="R29:R37" si="7">SUM(E29:Q29)</f>
        <v>250000</v>
      </c>
      <c r="S29" s="147">
        <v>250000</v>
      </c>
      <c r="T29" s="147"/>
      <c r="U29" s="143"/>
    </row>
    <row r="30" spans="1:21" s="144" customFormat="1">
      <c r="A30" s="145" t="s">
        <v>607</v>
      </c>
      <c r="B30" s="146">
        <f t="shared" si="6"/>
        <v>39209777</v>
      </c>
      <c r="C30" s="147">
        <f>39566177-C29-C10</f>
        <v>39209777</v>
      </c>
      <c r="D30" s="147"/>
      <c r="E30" s="147">
        <f t="shared" ref="E30:E37" si="8">C30-SUM(F30:Q30)</f>
        <v>17119777</v>
      </c>
      <c r="F30" s="147">
        <f>F108</f>
        <v>18090000</v>
      </c>
      <c r="G30" s="147">
        <f>G108</f>
        <v>4000000</v>
      </c>
      <c r="H30" s="147"/>
      <c r="I30" s="147"/>
      <c r="J30" s="147"/>
      <c r="K30" s="147"/>
      <c r="L30" s="147"/>
      <c r="M30" s="147"/>
      <c r="N30" s="147"/>
      <c r="O30" s="147"/>
      <c r="P30" s="147"/>
      <c r="Q30" s="147"/>
      <c r="R30" s="550">
        <f t="shared" si="7"/>
        <v>39209777</v>
      </c>
      <c r="S30" s="147">
        <f>R30</f>
        <v>39209777</v>
      </c>
      <c r="T30" s="147"/>
      <c r="U30" s="143"/>
    </row>
    <row r="31" spans="1:21" s="144" customFormat="1">
      <c r="A31" s="145" t="s">
        <v>608</v>
      </c>
      <c r="B31" s="146">
        <f t="shared" si="6"/>
        <v>2491375</v>
      </c>
      <c r="C31" s="147">
        <v>2491375</v>
      </c>
      <c r="D31" s="147"/>
      <c r="E31" s="147">
        <f t="shared" si="8"/>
        <v>2491375</v>
      </c>
      <c r="F31" s="147"/>
      <c r="G31" s="147"/>
      <c r="H31" s="147"/>
      <c r="I31" s="147"/>
      <c r="J31" s="147"/>
      <c r="K31" s="147"/>
      <c r="L31" s="147"/>
      <c r="M31" s="147"/>
      <c r="N31" s="147"/>
      <c r="O31" s="147"/>
      <c r="P31" s="147"/>
      <c r="Q31" s="147"/>
      <c r="R31" s="550">
        <f t="shared" si="7"/>
        <v>2491375</v>
      </c>
      <c r="S31" s="147">
        <v>2491375</v>
      </c>
      <c r="T31" s="147"/>
      <c r="U31" s="143"/>
    </row>
    <row r="32" spans="1:21" s="144" customFormat="1">
      <c r="A32" s="145" t="s">
        <v>137</v>
      </c>
      <c r="B32" s="146">
        <f t="shared" si="6"/>
        <v>0</v>
      </c>
      <c r="C32" s="147">
        <v>0</v>
      </c>
      <c r="D32" s="147"/>
      <c r="E32" s="147">
        <f t="shared" si="8"/>
        <v>0</v>
      </c>
      <c r="F32" s="147"/>
      <c r="G32" s="147"/>
      <c r="H32" s="147"/>
      <c r="I32" s="147"/>
      <c r="J32" s="147"/>
      <c r="K32" s="147"/>
      <c r="L32" s="147"/>
      <c r="M32" s="147"/>
      <c r="N32" s="147"/>
      <c r="O32" s="147"/>
      <c r="P32" s="147"/>
      <c r="Q32" s="147"/>
      <c r="R32" s="550">
        <f t="shared" si="7"/>
        <v>0</v>
      </c>
      <c r="S32" s="147">
        <v>0</v>
      </c>
      <c r="T32" s="147"/>
      <c r="U32" s="143"/>
    </row>
    <row r="33" spans="1:21" s="144" customFormat="1">
      <c r="A33" s="145" t="s">
        <v>138</v>
      </c>
      <c r="B33" s="146">
        <f t="shared" si="6"/>
        <v>1927663</v>
      </c>
      <c r="C33" s="147">
        <v>1927663</v>
      </c>
      <c r="D33" s="147"/>
      <c r="E33" s="147">
        <f t="shared" si="8"/>
        <v>1927663</v>
      </c>
      <c r="F33" s="147"/>
      <c r="G33" s="147"/>
      <c r="H33" s="147"/>
      <c r="I33" s="147"/>
      <c r="J33" s="147"/>
      <c r="K33" s="147"/>
      <c r="L33" s="147"/>
      <c r="M33" s="147"/>
      <c r="N33" s="147"/>
      <c r="O33" s="147"/>
      <c r="P33" s="147"/>
      <c r="Q33" s="147"/>
      <c r="R33" s="550">
        <f t="shared" si="7"/>
        <v>1927663</v>
      </c>
      <c r="S33" s="147">
        <v>1927663</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318000</v>
      </c>
      <c r="C35" s="147">
        <v>318000</v>
      </c>
      <c r="D35" s="147"/>
      <c r="E35" s="147">
        <f t="shared" si="8"/>
        <v>318000</v>
      </c>
      <c r="F35" s="147"/>
      <c r="G35" s="147"/>
      <c r="H35" s="147"/>
      <c r="I35" s="147"/>
      <c r="J35" s="147"/>
      <c r="K35" s="147"/>
      <c r="L35" s="147"/>
      <c r="M35" s="147"/>
      <c r="N35" s="147"/>
      <c r="O35" s="147"/>
      <c r="P35" s="147"/>
      <c r="Q35" s="147"/>
      <c r="R35" s="550">
        <f t="shared" si="7"/>
        <v>318000</v>
      </c>
      <c r="S35" s="147">
        <v>318000</v>
      </c>
      <c r="T35" s="147"/>
      <c r="U35" s="143"/>
    </row>
    <row r="36" spans="1:21" s="144" customFormat="1">
      <c r="A36" s="304" t="s">
        <v>1751</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c r="T36" s="147"/>
      <c r="U36" s="143"/>
    </row>
    <row r="37" spans="1:21" s="144" customFormat="1">
      <c r="A37" s="1190" t="s">
        <v>2723</v>
      </c>
      <c r="B37" s="146">
        <f t="shared" si="6"/>
        <v>433426</v>
      </c>
      <c r="C37" s="147">
        <v>433426</v>
      </c>
      <c r="D37" s="147"/>
      <c r="E37" s="147">
        <f t="shared" si="8"/>
        <v>433426</v>
      </c>
      <c r="F37" s="147"/>
      <c r="G37" s="147"/>
      <c r="H37" s="147"/>
      <c r="I37" s="147"/>
      <c r="J37" s="147"/>
      <c r="K37" s="147"/>
      <c r="L37" s="147"/>
      <c r="M37" s="147"/>
      <c r="N37" s="147"/>
      <c r="O37" s="147"/>
      <c r="P37" s="147"/>
      <c r="Q37" s="147"/>
      <c r="R37" s="550">
        <f t="shared" si="7"/>
        <v>433426</v>
      </c>
      <c r="S37" s="147">
        <v>433426</v>
      </c>
      <c r="T37" s="147"/>
      <c r="U37" s="143"/>
    </row>
    <row r="38" spans="1:21" s="144" customFormat="1">
      <c r="A38" s="149" t="s">
        <v>143</v>
      </c>
      <c r="B38" s="146">
        <f t="shared" si="6"/>
        <v>44630241</v>
      </c>
      <c r="C38" s="146">
        <f>SUM(C29:C37)</f>
        <v>44630241</v>
      </c>
      <c r="D38" s="146">
        <f t="shared" ref="D38:Q38" si="9">SUM(D29:D37)</f>
        <v>0</v>
      </c>
      <c r="E38" s="146">
        <f t="shared" si="9"/>
        <v>22540241</v>
      </c>
      <c r="F38" s="146">
        <f t="shared" si="9"/>
        <v>18090000</v>
      </c>
      <c r="G38" s="146">
        <f t="shared" si="9"/>
        <v>4000000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44630241</v>
      </c>
      <c r="S38" s="150">
        <f>SUM(S29:S37)</f>
        <v>44630241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793220</v>
      </c>
      <c r="C40" s="147">
        <v>793220</v>
      </c>
      <c r="D40" s="147"/>
      <c r="E40" s="147">
        <f t="shared" ref="E40:E43" si="10">C40-SUM(F40:Q40)</f>
        <v>793220</v>
      </c>
      <c r="F40" s="147"/>
      <c r="G40" s="147"/>
      <c r="H40" s="147"/>
      <c r="I40" s="147"/>
      <c r="J40" s="147"/>
      <c r="K40" s="147"/>
      <c r="L40" s="147"/>
      <c r="M40" s="147"/>
      <c r="N40" s="147"/>
      <c r="O40" s="147"/>
      <c r="P40" s="147"/>
      <c r="Q40" s="147"/>
      <c r="R40" s="550">
        <f>SUM(E40:Q40)</f>
        <v>793220</v>
      </c>
      <c r="S40" s="147">
        <v>793220</v>
      </c>
      <c r="T40" s="147"/>
      <c r="U40" s="143"/>
    </row>
    <row r="41" spans="1:21" s="144" customFormat="1">
      <c r="A41" s="145" t="s">
        <v>146</v>
      </c>
      <c r="B41" s="146">
        <f>SUM(C41+D41)</f>
        <v>300000</v>
      </c>
      <c r="C41" s="147">
        <v>300000</v>
      </c>
      <c r="D41" s="147"/>
      <c r="E41" s="147">
        <f t="shared" si="10"/>
        <v>300000</v>
      </c>
      <c r="F41" s="147"/>
      <c r="G41" s="147"/>
      <c r="H41" s="147"/>
      <c r="I41" s="147"/>
      <c r="J41" s="147"/>
      <c r="K41" s="147"/>
      <c r="L41" s="147"/>
      <c r="M41" s="147"/>
      <c r="N41" s="147"/>
      <c r="O41" s="147"/>
      <c r="P41" s="147"/>
      <c r="Q41" s="147"/>
      <c r="R41" s="550">
        <f>SUM(E41:Q41)</f>
        <v>300000</v>
      </c>
      <c r="S41" s="147">
        <v>300000</v>
      </c>
      <c r="T41" s="147"/>
      <c r="U41" s="143"/>
    </row>
    <row r="42" spans="1:21" s="144" customFormat="1">
      <c r="A42" s="149" t="s">
        <v>147</v>
      </c>
      <c r="B42" s="146">
        <f>SUM(C42:D42)</f>
        <v>1093220</v>
      </c>
      <c r="C42" s="146">
        <f>SUM(C39:C41)</f>
        <v>1093220</v>
      </c>
      <c r="D42" s="146">
        <f>SUM(D39:D41)</f>
        <v>0</v>
      </c>
      <c r="E42" s="146">
        <f t="shared" ref="E42:T42" si="11">SUM(E40:E41)</f>
        <v>1093220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1093220</v>
      </c>
      <c r="S42" s="150">
        <f t="shared" si="11"/>
        <v>1093220</v>
      </c>
      <c r="T42" s="150">
        <f t="shared" si="11"/>
        <v>0</v>
      </c>
      <c r="U42" s="143"/>
    </row>
    <row r="43" spans="1:21" s="144" customFormat="1">
      <c r="A43" s="149" t="s">
        <v>148</v>
      </c>
      <c r="B43" s="146">
        <f>SUM(C43:D43)</f>
        <v>913432</v>
      </c>
      <c r="C43" s="147">
        <v>913432</v>
      </c>
      <c r="D43" s="147"/>
      <c r="E43" s="147">
        <f t="shared" si="10"/>
        <v>913432</v>
      </c>
      <c r="F43" s="147"/>
      <c r="G43" s="147"/>
      <c r="H43" s="147"/>
      <c r="I43" s="147"/>
      <c r="J43" s="147"/>
      <c r="K43" s="147"/>
      <c r="L43" s="147"/>
      <c r="M43" s="147"/>
      <c r="N43" s="147"/>
      <c r="O43" s="147"/>
      <c r="P43" s="147"/>
      <c r="Q43" s="147"/>
      <c r="R43" s="550">
        <f>SUM(E43:Q43)</f>
        <v>913432</v>
      </c>
      <c r="S43" s="147">
        <v>913432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4132833.3333333326</v>
      </c>
      <c r="C45" s="147">
        <v>4132833.3333333326</v>
      </c>
      <c r="D45" s="147"/>
      <c r="E45" s="147">
        <f t="shared" ref="E45:E51" si="13">C45-SUM(F45:Q45)</f>
        <v>4132833.3333333326</v>
      </c>
      <c r="F45" s="147"/>
      <c r="G45" s="147"/>
      <c r="H45" s="147"/>
      <c r="I45" s="147"/>
      <c r="J45" s="147"/>
      <c r="K45" s="147"/>
      <c r="L45" s="147"/>
      <c r="M45" s="147"/>
      <c r="N45" s="147"/>
      <c r="O45" s="147"/>
      <c r="P45" s="147"/>
      <c r="Q45" s="147"/>
      <c r="R45" s="550">
        <f t="shared" ref="R45:R53" si="14">SUM(E45:Q45)</f>
        <v>4132833.3333333326</v>
      </c>
      <c r="S45" s="147">
        <v>4132833.3333333326</v>
      </c>
      <c r="T45" s="147"/>
      <c r="U45" s="143"/>
    </row>
    <row r="46" spans="1:21" s="144" customFormat="1">
      <c r="A46" s="145" t="s">
        <v>151</v>
      </c>
      <c r="B46" s="146">
        <f t="shared" si="12"/>
        <v>508750</v>
      </c>
      <c r="C46" s="147">
        <v>508750</v>
      </c>
      <c r="D46" s="147"/>
      <c r="E46" s="147">
        <f t="shared" si="13"/>
        <v>508750</v>
      </c>
      <c r="F46" s="147"/>
      <c r="G46" s="147"/>
      <c r="H46" s="147"/>
      <c r="I46" s="147"/>
      <c r="J46" s="147"/>
      <c r="K46" s="147"/>
      <c r="L46" s="147"/>
      <c r="M46" s="147"/>
      <c r="N46" s="147"/>
      <c r="O46" s="147"/>
      <c r="P46" s="147"/>
      <c r="Q46" s="147"/>
      <c r="R46" s="550">
        <f t="shared" si="14"/>
        <v>508750</v>
      </c>
      <c r="S46" s="147">
        <v>391562.5</v>
      </c>
      <c r="T46" s="147"/>
      <c r="U46" s="143"/>
    </row>
    <row r="47" spans="1:21" s="144" customFormat="1">
      <c r="A47" s="198" t="s">
        <v>152</v>
      </c>
      <c r="B47" s="146">
        <f t="shared" si="12"/>
        <v>95000</v>
      </c>
      <c r="C47" s="147">
        <v>95000</v>
      </c>
      <c r="D47" s="147"/>
      <c r="E47" s="147">
        <f t="shared" si="13"/>
        <v>95000</v>
      </c>
      <c r="F47" s="147"/>
      <c r="G47" s="147"/>
      <c r="H47" s="147"/>
      <c r="I47" s="147"/>
      <c r="J47" s="147"/>
      <c r="K47" s="147"/>
      <c r="L47" s="147"/>
      <c r="M47" s="147"/>
      <c r="N47" s="147"/>
      <c r="O47" s="147"/>
      <c r="P47" s="147"/>
      <c r="Q47" s="147"/>
      <c r="R47" s="550">
        <f t="shared" si="14"/>
        <v>95000</v>
      </c>
      <c r="S47" s="147">
        <v>86250</v>
      </c>
      <c r="T47" s="147"/>
      <c r="U47" s="143"/>
    </row>
    <row r="48" spans="1:21" s="144" customFormat="1">
      <c r="A48" s="145" t="s">
        <v>153</v>
      </c>
      <c r="B48" s="146">
        <f t="shared" si="12"/>
        <v>167083.33333333331</v>
      </c>
      <c r="C48" s="147">
        <v>167083.33333333331</v>
      </c>
      <c r="D48" s="147"/>
      <c r="E48" s="147">
        <f t="shared" si="13"/>
        <v>167083.33333333331</v>
      </c>
      <c r="F48" s="147"/>
      <c r="G48" s="147"/>
      <c r="H48" s="147"/>
      <c r="I48" s="147"/>
      <c r="J48" s="147"/>
      <c r="K48" s="147"/>
      <c r="L48" s="147"/>
      <c r="M48" s="147"/>
      <c r="N48" s="147"/>
      <c r="O48" s="147"/>
      <c r="P48" s="147"/>
      <c r="Q48" s="147"/>
      <c r="R48" s="550">
        <f t="shared" si="14"/>
        <v>167083.33333333331</v>
      </c>
      <c r="S48" s="147">
        <v>0</v>
      </c>
      <c r="T48" s="147"/>
      <c r="U48" s="143"/>
    </row>
    <row r="49" spans="1:21" s="144" customFormat="1">
      <c r="A49" s="145" t="s">
        <v>57</v>
      </c>
      <c r="B49" s="146">
        <f t="shared" si="12"/>
        <v>131000</v>
      </c>
      <c r="C49" s="147">
        <v>131000</v>
      </c>
      <c r="D49" s="147"/>
      <c r="E49" s="147">
        <f t="shared" si="13"/>
        <v>131000</v>
      </c>
      <c r="F49" s="147"/>
      <c r="G49" s="147"/>
      <c r="H49" s="147"/>
      <c r="I49" s="147"/>
      <c r="J49" s="147"/>
      <c r="K49" s="147"/>
      <c r="L49" s="147"/>
      <c r="M49" s="147"/>
      <c r="N49" s="147"/>
      <c r="O49" s="147"/>
      <c r="P49" s="147"/>
      <c r="Q49" s="147"/>
      <c r="R49" s="550">
        <f t="shared" si="14"/>
        <v>131000</v>
      </c>
      <c r="S49" s="147">
        <v>93750</v>
      </c>
      <c r="T49" s="147"/>
      <c r="U49" s="143"/>
    </row>
    <row r="50" spans="1:21" s="144" customFormat="1">
      <c r="A50" s="145" t="s">
        <v>156</v>
      </c>
      <c r="B50" s="146">
        <f t="shared" si="12"/>
        <v>40000</v>
      </c>
      <c r="C50" s="147">
        <v>40000</v>
      </c>
      <c r="D50" s="147"/>
      <c r="E50" s="147">
        <f t="shared" si="13"/>
        <v>40000</v>
      </c>
      <c r="F50" s="147"/>
      <c r="G50" s="147"/>
      <c r="H50" s="147"/>
      <c r="I50" s="147"/>
      <c r="J50" s="147"/>
      <c r="K50" s="147"/>
      <c r="L50" s="147"/>
      <c r="M50" s="147"/>
      <c r="N50" s="147"/>
      <c r="O50" s="147"/>
      <c r="P50" s="147"/>
      <c r="Q50" s="147"/>
      <c r="R50" s="550">
        <f t="shared" si="14"/>
        <v>40000</v>
      </c>
      <c r="S50" s="147">
        <v>40000</v>
      </c>
      <c r="T50" s="147"/>
      <c r="U50" s="143"/>
    </row>
    <row r="51" spans="1:21" s="144" customFormat="1">
      <c r="A51" s="304" t="s">
        <v>154</v>
      </c>
      <c r="B51" s="146">
        <f t="shared" si="12"/>
        <v>1400000</v>
      </c>
      <c r="C51" s="147">
        <v>1400000</v>
      </c>
      <c r="D51" s="147"/>
      <c r="E51" s="147">
        <f t="shared" si="13"/>
        <v>1400000</v>
      </c>
      <c r="F51" s="147"/>
      <c r="G51" s="147"/>
      <c r="H51" s="147"/>
      <c r="I51" s="147"/>
      <c r="J51" s="147"/>
      <c r="K51" s="147"/>
      <c r="L51" s="147"/>
      <c r="M51" s="147"/>
      <c r="N51" s="147"/>
      <c r="O51" s="147"/>
      <c r="P51" s="147"/>
      <c r="Q51" s="147"/>
      <c r="R51" s="550">
        <f t="shared" si="14"/>
        <v>1400000</v>
      </c>
      <c r="S51" s="147">
        <v>1400000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50">
        <f t="shared" si="14"/>
        <v>0</v>
      </c>
      <c r="S52" s="147"/>
      <c r="T52" s="147"/>
      <c r="U52" s="143"/>
    </row>
    <row r="53" spans="1:21" s="144" customFormat="1">
      <c r="A53" s="1190" t="s">
        <v>34</v>
      </c>
      <c r="B53" s="146">
        <f t="shared" si="12"/>
        <v>0</v>
      </c>
      <c r="C53" s="147"/>
      <c r="D53" s="147"/>
      <c r="E53" s="147"/>
      <c r="F53" s="147"/>
      <c r="G53" s="147"/>
      <c r="H53" s="147"/>
      <c r="I53" s="147"/>
      <c r="J53" s="147"/>
      <c r="K53" s="147"/>
      <c r="L53" s="147"/>
      <c r="M53" s="147"/>
      <c r="N53" s="147"/>
      <c r="O53" s="147"/>
      <c r="P53" s="147"/>
      <c r="Q53" s="147"/>
      <c r="R53" s="550">
        <f t="shared" si="14"/>
        <v>0</v>
      </c>
      <c r="S53" s="147"/>
      <c r="T53" s="147"/>
      <c r="U53" s="143"/>
    </row>
    <row r="54" spans="1:21" s="153" customFormat="1">
      <c r="A54" s="149" t="s">
        <v>157</v>
      </c>
      <c r="B54" s="150">
        <f>SUM(C54:D54)</f>
        <v>6474666.6666666651</v>
      </c>
      <c r="C54" s="150">
        <f t="shared" ref="C54:T54" si="15">SUM(C45:C53)</f>
        <v>6474666.6666666651</v>
      </c>
      <c r="D54" s="150">
        <f t="shared" si="15"/>
        <v>0</v>
      </c>
      <c r="E54" s="150">
        <f t="shared" si="15"/>
        <v>6474666.6666666651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6474666.6666666651</v>
      </c>
      <c r="S54" s="150">
        <f t="shared" si="15"/>
        <v>6144395.8333333321</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271350</v>
      </c>
      <c r="C56" s="147">
        <v>271350</v>
      </c>
      <c r="D56" s="147"/>
      <c r="E56" s="147">
        <f t="shared" ref="E56:E61" si="17">C56-SUM(F56:Q56)</f>
        <v>271350</v>
      </c>
      <c r="F56" s="147"/>
      <c r="G56" s="147"/>
      <c r="H56" s="147"/>
      <c r="I56" s="147"/>
      <c r="J56" s="147"/>
      <c r="K56" s="147"/>
      <c r="L56" s="147"/>
      <c r="M56" s="147"/>
      <c r="N56" s="147"/>
      <c r="O56" s="147"/>
      <c r="P56" s="147"/>
      <c r="Q56" s="147"/>
      <c r="R56" s="550">
        <f t="shared" ref="R56:R61" si="18">SUM(E56:Q56)</f>
        <v>271350</v>
      </c>
      <c r="S56" s="148"/>
      <c r="T56" s="148"/>
      <c r="U56" s="143"/>
    </row>
    <row r="57" spans="1:21" s="204" customFormat="1">
      <c r="A57" s="198" t="s">
        <v>152</v>
      </c>
      <c r="B57" s="205">
        <f t="shared" si="16"/>
        <v>55000</v>
      </c>
      <c r="C57" s="202">
        <v>55000</v>
      </c>
      <c r="D57" s="202"/>
      <c r="E57" s="202">
        <f t="shared" si="17"/>
        <v>55000</v>
      </c>
      <c r="F57" s="202"/>
      <c r="G57" s="202"/>
      <c r="H57" s="202"/>
      <c r="I57" s="202"/>
      <c r="J57" s="202"/>
      <c r="K57" s="202"/>
      <c r="L57" s="202"/>
      <c r="M57" s="202"/>
      <c r="N57" s="202"/>
      <c r="O57" s="202"/>
      <c r="P57" s="202"/>
      <c r="Q57" s="202"/>
      <c r="R57" s="550">
        <f t="shared" si="18"/>
        <v>55000</v>
      </c>
      <c r="S57" s="206"/>
      <c r="T57" s="206"/>
      <c r="U57" s="203"/>
    </row>
    <row r="58" spans="1:21" s="144" customFormat="1">
      <c r="A58" s="145" t="s">
        <v>156</v>
      </c>
      <c r="B58" s="146">
        <f t="shared" si="16"/>
        <v>43500</v>
      </c>
      <c r="C58" s="147">
        <v>43500</v>
      </c>
      <c r="D58" s="147"/>
      <c r="E58" s="147">
        <f t="shared" si="17"/>
        <v>43500</v>
      </c>
      <c r="F58" s="147"/>
      <c r="G58" s="147"/>
      <c r="H58" s="147"/>
      <c r="I58" s="147"/>
      <c r="J58" s="147"/>
      <c r="K58" s="147"/>
      <c r="L58" s="147"/>
      <c r="M58" s="147"/>
      <c r="N58" s="147"/>
      <c r="O58" s="147"/>
      <c r="P58" s="147"/>
      <c r="Q58" s="147"/>
      <c r="R58" s="550">
        <f t="shared" si="18"/>
        <v>43500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0" t="s">
        <v>2724</v>
      </c>
      <c r="B61" s="146">
        <f t="shared" si="16"/>
        <v>1969910.9051666665</v>
      </c>
      <c r="C61" s="147">
        <v>1969910.9051666665</v>
      </c>
      <c r="D61" s="147"/>
      <c r="E61" s="147">
        <f t="shared" si="17"/>
        <v>1969910.9051666665</v>
      </c>
      <c r="F61" s="147"/>
      <c r="G61" s="147"/>
      <c r="H61" s="147"/>
      <c r="I61" s="147"/>
      <c r="J61" s="147"/>
      <c r="K61" s="147"/>
      <c r="L61" s="147"/>
      <c r="M61" s="147"/>
      <c r="N61" s="147"/>
      <c r="O61" s="147"/>
      <c r="P61" s="147"/>
      <c r="Q61" s="147"/>
      <c r="R61" s="550">
        <f t="shared" si="18"/>
        <v>1969910.9051666665</v>
      </c>
      <c r="S61" s="148"/>
      <c r="T61" s="148"/>
      <c r="U61" s="143"/>
    </row>
    <row r="62" spans="1:21" s="144" customFormat="1" ht="13.7" customHeight="1">
      <c r="A62" s="149" t="s">
        <v>301</v>
      </c>
      <c r="B62" s="146">
        <f>SUM(C62:D62)</f>
        <v>2339760.9051666665</v>
      </c>
      <c r="C62" s="146">
        <f t="shared" ref="C62:R62" si="19">SUM(C56:C61)</f>
        <v>2339760.9051666665</v>
      </c>
      <c r="D62" s="146">
        <f t="shared" si="19"/>
        <v>0</v>
      </c>
      <c r="E62" s="146">
        <f t="shared" si="19"/>
        <v>2339760.9051666665</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2339760.9051666665</v>
      </c>
      <c r="S62" s="148"/>
      <c r="T62" s="148"/>
      <c r="U62" s="143"/>
    </row>
    <row r="63" spans="1:21" s="144" customFormat="1">
      <c r="A63" s="154" t="s">
        <v>302</v>
      </c>
      <c r="B63" s="146">
        <f t="shared" ref="B63:R63" si="20">SUM(B8+B11+B13+B14+B15+B26+B27+B38+B42+B43+B54+B62)</f>
        <v>59049254.946833327</v>
      </c>
      <c r="C63" s="146">
        <f t="shared" si="20"/>
        <v>59049254.946833327</v>
      </c>
      <c r="D63" s="146">
        <f t="shared" si="20"/>
        <v>0</v>
      </c>
      <c r="E63" s="146">
        <f t="shared" si="20"/>
        <v>36959254.946833327</v>
      </c>
      <c r="F63" s="146">
        <f t="shared" si="20"/>
        <v>18090000</v>
      </c>
      <c r="G63" s="146">
        <f t="shared" si="20"/>
        <v>4000000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59049254.946833327</v>
      </c>
      <c r="S63" s="146">
        <f>SUM(S10+S13+S14+S15+S26+S27+S38+S42+S43+S54)</f>
        <v>53003845.083333328</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 t="shared" ref="E65" si="21">C65-SUM(F65:Q65)</f>
        <v>100000</v>
      </c>
      <c r="F65" s="147"/>
      <c r="G65" s="147"/>
      <c r="H65" s="147"/>
      <c r="I65" s="147"/>
      <c r="J65" s="147"/>
      <c r="K65" s="147"/>
      <c r="L65" s="147"/>
      <c r="M65" s="147"/>
      <c r="N65" s="147"/>
      <c r="O65" s="147"/>
      <c r="P65" s="147"/>
      <c r="Q65" s="147"/>
      <c r="R65" s="550">
        <f>SUM(E65:Q65)</f>
        <v>100000</v>
      </c>
      <c r="S65" s="147">
        <v>48750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0" t="s">
        <v>2725</v>
      </c>
      <c r="B69" s="146">
        <f>SUM(C69+D69)</f>
        <v>260000</v>
      </c>
      <c r="C69" s="147">
        <v>260000</v>
      </c>
      <c r="D69" s="147"/>
      <c r="E69" s="147">
        <f t="shared" ref="E69" si="22">C69-SUM(F69:Q69)</f>
        <v>260000</v>
      </c>
      <c r="F69" s="147"/>
      <c r="G69" s="147"/>
      <c r="H69" s="147"/>
      <c r="I69" s="147"/>
      <c r="J69" s="147"/>
      <c r="K69" s="147"/>
      <c r="L69" s="147"/>
      <c r="M69" s="147"/>
      <c r="N69" s="147"/>
      <c r="O69" s="147"/>
      <c r="P69" s="147"/>
      <c r="Q69" s="147"/>
      <c r="R69" s="550">
        <f>SUM(E69:Q69)</f>
        <v>260000</v>
      </c>
      <c r="S69" s="147">
        <v>112500</v>
      </c>
      <c r="T69" s="147"/>
      <c r="U69" s="143"/>
    </row>
    <row r="70" spans="1:21" s="144" customFormat="1">
      <c r="A70" s="149" t="s">
        <v>1756</v>
      </c>
      <c r="B70" s="146">
        <f>SUM(C70:D70)</f>
        <v>360000</v>
      </c>
      <c r="C70" s="146">
        <f>SUM(C65:C69)</f>
        <v>360000</v>
      </c>
      <c r="D70" s="146">
        <f>SUM(D65:D69)</f>
        <v>0</v>
      </c>
      <c r="E70" s="146">
        <f t="shared" ref="E70:T70" si="23">SUM(E65:E69)</f>
        <v>360000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360000</v>
      </c>
      <c r="S70" s="150">
        <f t="shared" si="23"/>
        <v>161250</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565485.65853260877</v>
      </c>
      <c r="C75" s="147">
        <v>565485.65853260877</v>
      </c>
      <c r="D75" s="147"/>
      <c r="E75" s="147">
        <f t="shared" ref="E75" si="24">C75-SUM(F75:Q75)</f>
        <v>565485.65853260877</v>
      </c>
      <c r="F75" s="147"/>
      <c r="G75" s="147"/>
      <c r="H75" s="147"/>
      <c r="I75" s="147"/>
      <c r="J75" s="147"/>
      <c r="K75" s="147"/>
      <c r="L75" s="147"/>
      <c r="M75" s="147"/>
      <c r="N75" s="147"/>
      <c r="O75" s="147"/>
      <c r="P75" s="147"/>
      <c r="Q75" s="147"/>
      <c r="R75" s="550">
        <f>SUM(E75:Q75)</f>
        <v>565485.65853260877</v>
      </c>
      <c r="S75" s="148"/>
      <c r="T75" s="148"/>
      <c r="U75" s="143"/>
    </row>
    <row r="76" spans="1:21" s="144" customFormat="1">
      <c r="A76" s="1190"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565485.65853260877</v>
      </c>
      <c r="C77" s="146">
        <f>SUM(C72:C76)</f>
        <v>565485.65853260877</v>
      </c>
      <c r="D77" s="146">
        <f>SUM(D72:D76)</f>
        <v>0</v>
      </c>
      <c r="E77" s="146">
        <f t="shared" ref="E77:Q77" si="25">SUM(E72:E76)</f>
        <v>565485.65853260877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565485.65853260877</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2241394.5500000003</v>
      </c>
      <c r="C79" s="147">
        <v>2241394.5500000003</v>
      </c>
      <c r="D79" s="147"/>
      <c r="E79" s="147">
        <f t="shared" ref="E79:E80" si="26">C79-SUM(F79:Q79)</f>
        <v>2241394.5500000003</v>
      </c>
      <c r="F79" s="147"/>
      <c r="G79" s="147"/>
      <c r="H79" s="147"/>
      <c r="I79" s="147"/>
      <c r="J79" s="147"/>
      <c r="K79" s="147"/>
      <c r="L79" s="147"/>
      <c r="M79" s="147"/>
      <c r="N79" s="147"/>
      <c r="O79" s="147"/>
      <c r="P79" s="147"/>
      <c r="Q79" s="147"/>
      <c r="R79" s="550">
        <f>SUM(E79:Q79)</f>
        <v>2241394.5500000003</v>
      </c>
      <c r="S79" s="147">
        <v>2241394.5500000003</v>
      </c>
      <c r="T79" s="147"/>
      <c r="U79" s="143"/>
    </row>
    <row r="80" spans="1:21" s="144" customFormat="1">
      <c r="A80" s="304" t="s">
        <v>58</v>
      </c>
      <c r="B80" s="146">
        <f>SUM(C80:D80)</f>
        <v>750000</v>
      </c>
      <c r="C80" s="147">
        <v>750000</v>
      </c>
      <c r="D80" s="147"/>
      <c r="E80" s="147">
        <f t="shared" si="26"/>
        <v>750000</v>
      </c>
      <c r="F80" s="147"/>
      <c r="G80" s="147"/>
      <c r="H80" s="147"/>
      <c r="I80" s="147"/>
      <c r="J80" s="147"/>
      <c r="K80" s="147"/>
      <c r="L80" s="147"/>
      <c r="M80" s="147"/>
      <c r="N80" s="147"/>
      <c r="O80" s="147"/>
      <c r="P80" s="147"/>
      <c r="Q80" s="147"/>
      <c r="R80" s="550">
        <f>SUM(E80:Q80)</f>
        <v>750000</v>
      </c>
      <c r="S80" s="147">
        <v>750000</v>
      </c>
      <c r="T80" s="147"/>
      <c r="U80" s="143"/>
    </row>
    <row r="81" spans="1:21" s="144" customFormat="1">
      <c r="A81" s="149" t="s">
        <v>1313</v>
      </c>
      <c r="B81" s="146">
        <f>SUM(C81:D81)</f>
        <v>2991394.5500000003</v>
      </c>
      <c r="C81" s="543">
        <f>SUM(C79:C80)</f>
        <v>2991394.5500000003</v>
      </c>
      <c r="D81" s="543">
        <f t="shared" ref="D81:T81" si="27">SUM(D79:D80)</f>
        <v>0</v>
      </c>
      <c r="E81" s="543">
        <f t="shared" si="27"/>
        <v>2991394.5500000003</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2991394.5500000003</v>
      </c>
      <c r="S81" s="543">
        <f t="shared" si="27"/>
        <v>2991394.5500000003</v>
      </c>
      <c r="T81" s="543">
        <f t="shared" si="27"/>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2400</v>
      </c>
      <c r="B83" s="146">
        <f t="shared" ref="B83:B95" si="28">SUM(C83+D83)</f>
        <v>172000</v>
      </c>
      <c r="C83" s="147">
        <v>172000</v>
      </c>
      <c r="D83" s="147"/>
      <c r="E83" s="147">
        <f t="shared" ref="E83:E93" si="29">C83-SUM(F83:Q83)</f>
        <v>172000</v>
      </c>
      <c r="F83" s="147"/>
      <c r="G83" s="147"/>
      <c r="H83" s="147"/>
      <c r="I83" s="147"/>
      <c r="J83" s="147"/>
      <c r="K83" s="147"/>
      <c r="L83" s="147"/>
      <c r="M83" s="147"/>
      <c r="N83" s="147"/>
      <c r="O83" s="147"/>
      <c r="P83" s="147"/>
      <c r="Q83" s="147"/>
      <c r="R83" s="550">
        <f t="shared" ref="R83:R95" si="30">SUM(E83:Q83)</f>
        <v>172000</v>
      </c>
      <c r="S83" s="148"/>
      <c r="T83" s="148"/>
      <c r="U83" s="143"/>
    </row>
    <row r="84" spans="1:21" s="144" customFormat="1">
      <c r="A84" s="145" t="s">
        <v>776</v>
      </c>
      <c r="B84" s="146">
        <f t="shared" si="28"/>
        <v>24206</v>
      </c>
      <c r="C84" s="147">
        <v>24206</v>
      </c>
      <c r="D84" s="147"/>
      <c r="E84" s="147">
        <f t="shared" si="29"/>
        <v>24206</v>
      </c>
      <c r="F84" s="147"/>
      <c r="G84" s="147"/>
      <c r="H84" s="147"/>
      <c r="I84" s="147"/>
      <c r="J84" s="147"/>
      <c r="K84" s="147"/>
      <c r="L84" s="147"/>
      <c r="M84" s="147"/>
      <c r="N84" s="147"/>
      <c r="O84" s="147"/>
      <c r="P84" s="147"/>
      <c r="Q84" s="147"/>
      <c r="R84" s="550">
        <f t="shared" si="30"/>
        <v>24206</v>
      </c>
      <c r="S84" s="147">
        <v>24206</v>
      </c>
      <c r="T84" s="147"/>
      <c r="U84" s="143"/>
    </row>
    <row r="85" spans="1:21" s="144" customFormat="1">
      <c r="A85" s="145" t="s">
        <v>777</v>
      </c>
      <c r="B85" s="146">
        <f t="shared" si="28"/>
        <v>1418311.12</v>
      </c>
      <c r="C85" s="147">
        <v>1418311.12</v>
      </c>
      <c r="D85" s="147"/>
      <c r="E85" s="147">
        <f t="shared" si="29"/>
        <v>1418311.12</v>
      </c>
      <c r="F85" s="147"/>
      <c r="G85" s="147"/>
      <c r="H85" s="147"/>
      <c r="I85" s="147"/>
      <c r="J85" s="147"/>
      <c r="K85" s="147"/>
      <c r="L85" s="147"/>
      <c r="M85" s="147"/>
      <c r="N85" s="147"/>
      <c r="O85" s="147"/>
      <c r="P85" s="147"/>
      <c r="Q85" s="147"/>
      <c r="R85" s="550">
        <f t="shared" si="30"/>
        <v>1418311.12</v>
      </c>
      <c r="S85" s="147">
        <v>1418311.12</v>
      </c>
      <c r="T85" s="147"/>
      <c r="U85" s="143"/>
    </row>
    <row r="86" spans="1:21" s="144" customFormat="1">
      <c r="A86" s="145" t="s">
        <v>778</v>
      </c>
      <c r="B86" s="146">
        <f t="shared" si="28"/>
        <v>3671774.8316000002</v>
      </c>
      <c r="C86" s="147">
        <v>3671774.8316000002</v>
      </c>
      <c r="D86" s="147"/>
      <c r="E86" s="147">
        <f t="shared" si="29"/>
        <v>3671774.8316000002</v>
      </c>
      <c r="F86" s="147"/>
      <c r="G86" s="147"/>
      <c r="H86" s="147"/>
      <c r="I86" s="147"/>
      <c r="J86" s="147"/>
      <c r="K86" s="147"/>
      <c r="L86" s="147"/>
      <c r="M86" s="147"/>
      <c r="N86" s="147"/>
      <c r="O86" s="147"/>
      <c r="P86" s="147"/>
      <c r="Q86" s="147"/>
      <c r="R86" s="550">
        <f t="shared" si="30"/>
        <v>3671774.8316000002</v>
      </c>
      <c r="S86" s="147">
        <v>3671774.8316000002</v>
      </c>
      <c r="T86" s="147"/>
      <c r="U86" s="143"/>
    </row>
    <row r="87" spans="1:21" s="144" customFormat="1">
      <c r="A87" s="145" t="s">
        <v>779</v>
      </c>
      <c r="B87" s="146">
        <f t="shared" si="28"/>
        <v>0</v>
      </c>
      <c r="C87" s="147">
        <v>0</v>
      </c>
      <c r="D87" s="147"/>
      <c r="E87" s="147">
        <f t="shared" si="29"/>
        <v>0</v>
      </c>
      <c r="F87" s="147"/>
      <c r="G87" s="147"/>
      <c r="H87" s="147"/>
      <c r="I87" s="147"/>
      <c r="J87" s="147"/>
      <c r="K87" s="147"/>
      <c r="L87" s="147"/>
      <c r="M87" s="147"/>
      <c r="N87" s="147"/>
      <c r="O87" s="147"/>
      <c r="P87" s="147"/>
      <c r="Q87" s="147"/>
      <c r="R87" s="550">
        <f t="shared" si="30"/>
        <v>0</v>
      </c>
      <c r="S87" s="147">
        <v>0</v>
      </c>
      <c r="T87" s="147"/>
      <c r="U87" s="143"/>
    </row>
    <row r="88" spans="1:21" s="144" customFormat="1">
      <c r="A88" s="145" t="s">
        <v>780</v>
      </c>
      <c r="B88" s="146">
        <f t="shared" si="28"/>
        <v>179516</v>
      </c>
      <c r="C88" s="147">
        <v>179516</v>
      </c>
      <c r="D88" s="147"/>
      <c r="E88" s="147">
        <f t="shared" si="29"/>
        <v>179516</v>
      </c>
      <c r="F88" s="147"/>
      <c r="G88" s="147"/>
      <c r="H88" s="147"/>
      <c r="I88" s="147"/>
      <c r="J88" s="147"/>
      <c r="K88" s="147"/>
      <c r="L88" s="147"/>
      <c r="M88" s="147"/>
      <c r="N88" s="147"/>
      <c r="O88" s="147"/>
      <c r="P88" s="147"/>
      <c r="Q88" s="147"/>
      <c r="R88" s="550">
        <f t="shared" si="30"/>
        <v>179516</v>
      </c>
      <c r="S88" s="148"/>
      <c r="T88" s="148"/>
      <c r="U88" s="143"/>
    </row>
    <row r="89" spans="1:21" s="144" customFormat="1">
      <c r="A89" s="145" t="s">
        <v>781</v>
      </c>
      <c r="B89" s="146">
        <f t="shared" si="28"/>
        <v>309750</v>
      </c>
      <c r="C89" s="147">
        <v>309750</v>
      </c>
      <c r="D89" s="147"/>
      <c r="E89" s="147">
        <f t="shared" si="29"/>
        <v>309750</v>
      </c>
      <c r="F89" s="147"/>
      <c r="G89" s="147"/>
      <c r="H89" s="147"/>
      <c r="I89" s="147"/>
      <c r="J89" s="147"/>
      <c r="K89" s="147"/>
      <c r="L89" s="147"/>
      <c r="M89" s="147"/>
      <c r="N89" s="147"/>
      <c r="O89" s="147"/>
      <c r="P89" s="147"/>
      <c r="Q89" s="147"/>
      <c r="R89" s="550">
        <f t="shared" si="30"/>
        <v>309750</v>
      </c>
      <c r="S89" s="147">
        <v>309750</v>
      </c>
      <c r="T89" s="147"/>
      <c r="U89" s="143"/>
    </row>
    <row r="90" spans="1:21" s="144" customFormat="1">
      <c r="A90" s="145" t="s">
        <v>782</v>
      </c>
      <c r="B90" s="146">
        <f t="shared" si="28"/>
        <v>9050</v>
      </c>
      <c r="C90" s="147">
        <v>9050</v>
      </c>
      <c r="D90" s="147"/>
      <c r="E90" s="147">
        <f t="shared" si="29"/>
        <v>9050</v>
      </c>
      <c r="F90" s="147"/>
      <c r="G90" s="147"/>
      <c r="H90" s="147"/>
      <c r="I90" s="147"/>
      <c r="J90" s="147"/>
      <c r="K90" s="147"/>
      <c r="L90" s="147"/>
      <c r="M90" s="147"/>
      <c r="N90" s="147"/>
      <c r="O90" s="147"/>
      <c r="P90" s="147"/>
      <c r="Q90" s="147"/>
      <c r="R90" s="550">
        <f t="shared" si="30"/>
        <v>9050</v>
      </c>
      <c r="S90" s="147">
        <v>9050</v>
      </c>
      <c r="T90" s="147"/>
      <c r="U90" s="143"/>
    </row>
    <row r="91" spans="1:21" s="144" customFormat="1">
      <c r="A91" s="145" t="s">
        <v>372</v>
      </c>
      <c r="B91" s="146">
        <f t="shared" si="28"/>
        <v>160000</v>
      </c>
      <c r="C91" s="147">
        <v>160000</v>
      </c>
      <c r="D91" s="147"/>
      <c r="E91" s="147">
        <f t="shared" si="29"/>
        <v>160000</v>
      </c>
      <c r="F91" s="147"/>
      <c r="G91" s="147"/>
      <c r="H91" s="147"/>
      <c r="I91" s="147"/>
      <c r="J91" s="147"/>
      <c r="K91" s="147"/>
      <c r="L91" s="147"/>
      <c r="M91" s="147"/>
      <c r="N91" s="147"/>
      <c r="O91" s="147"/>
      <c r="P91" s="147"/>
      <c r="Q91" s="147"/>
      <c r="R91" s="550">
        <f t="shared" si="30"/>
        <v>160000</v>
      </c>
      <c r="S91" s="147">
        <v>65000</v>
      </c>
      <c r="T91" s="147"/>
      <c r="U91" s="143"/>
    </row>
    <row r="92" spans="1:21" s="144" customFormat="1">
      <c r="A92" s="304" t="s">
        <v>1315</v>
      </c>
      <c r="B92" s="146">
        <f t="shared" si="28"/>
        <v>0</v>
      </c>
      <c r="C92" s="147">
        <v>0</v>
      </c>
      <c r="D92" s="147"/>
      <c r="E92" s="147">
        <f t="shared" si="29"/>
        <v>0</v>
      </c>
      <c r="F92" s="147"/>
      <c r="G92" s="147"/>
      <c r="H92" s="147"/>
      <c r="I92" s="147"/>
      <c r="J92" s="147"/>
      <c r="K92" s="147"/>
      <c r="L92" s="147"/>
      <c r="M92" s="147"/>
      <c r="N92" s="147"/>
      <c r="O92" s="147"/>
      <c r="P92" s="147"/>
      <c r="Q92" s="147"/>
      <c r="R92" s="550">
        <f t="shared" si="30"/>
        <v>0</v>
      </c>
      <c r="S92" s="147">
        <v>0</v>
      </c>
      <c r="T92" s="147"/>
      <c r="U92" s="143"/>
    </row>
    <row r="93" spans="1:21" s="144" customFormat="1">
      <c r="A93" s="1190" t="s">
        <v>2726</v>
      </c>
      <c r="B93" s="146">
        <f t="shared" si="28"/>
        <v>21525</v>
      </c>
      <c r="C93" s="147">
        <v>21525</v>
      </c>
      <c r="D93" s="147"/>
      <c r="E93" s="147">
        <f t="shared" si="29"/>
        <v>21525</v>
      </c>
      <c r="F93" s="147"/>
      <c r="G93" s="147"/>
      <c r="H93" s="147"/>
      <c r="I93" s="147"/>
      <c r="J93" s="147"/>
      <c r="K93" s="147"/>
      <c r="L93" s="147"/>
      <c r="M93" s="147"/>
      <c r="N93" s="147"/>
      <c r="O93" s="147"/>
      <c r="P93" s="147"/>
      <c r="Q93" s="147"/>
      <c r="R93" s="550">
        <f t="shared" si="30"/>
        <v>21525</v>
      </c>
      <c r="S93" s="147"/>
      <c r="T93" s="147"/>
      <c r="U93" s="143"/>
    </row>
    <row r="94" spans="1:21" s="144" customFormat="1">
      <c r="A94" s="1190" t="s">
        <v>2727</v>
      </c>
      <c r="B94" s="146">
        <f t="shared" si="28"/>
        <v>505515.255</v>
      </c>
      <c r="C94" s="147">
        <v>505515.255</v>
      </c>
      <c r="D94" s="147"/>
      <c r="E94" s="147">
        <f t="shared" ref="E94" si="31">C94-SUM(F94:Q94)</f>
        <v>505515.255</v>
      </c>
      <c r="F94" s="147"/>
      <c r="G94" s="147"/>
      <c r="H94" s="147"/>
      <c r="I94" s="147"/>
      <c r="J94" s="147"/>
      <c r="K94" s="147"/>
      <c r="L94" s="147"/>
      <c r="M94" s="147"/>
      <c r="N94" s="147"/>
      <c r="O94" s="147"/>
      <c r="P94" s="147"/>
      <c r="Q94" s="147"/>
      <c r="R94" s="550">
        <f t="shared" si="30"/>
        <v>505515.255</v>
      </c>
      <c r="S94" s="147">
        <v>390825.12</v>
      </c>
      <c r="T94" s="147"/>
      <c r="U94" s="143"/>
    </row>
    <row r="95" spans="1:21" s="144" customFormat="1">
      <c r="A95" s="1190"/>
      <c r="B95" s="146">
        <f t="shared" si="28"/>
        <v>0</v>
      </c>
      <c r="C95" s="147"/>
      <c r="D95" s="147"/>
      <c r="E95" s="147"/>
      <c r="F95" s="147"/>
      <c r="G95" s="147"/>
      <c r="H95" s="147"/>
      <c r="I95" s="147"/>
      <c r="J95" s="147"/>
      <c r="K95" s="147"/>
      <c r="L95" s="147"/>
      <c r="M95" s="147"/>
      <c r="N95" s="147"/>
      <c r="O95" s="147"/>
      <c r="P95" s="147"/>
      <c r="Q95" s="147"/>
      <c r="R95" s="550">
        <f t="shared" si="30"/>
        <v>0</v>
      </c>
      <c r="S95" s="147"/>
      <c r="T95" s="147"/>
      <c r="U95" s="143"/>
    </row>
    <row r="96" spans="1:21" s="144" customFormat="1">
      <c r="A96" s="149" t="s">
        <v>783</v>
      </c>
      <c r="B96" s="146">
        <f>SUM(C96:D96)</f>
        <v>6471648.2066000002</v>
      </c>
      <c r="C96" s="146">
        <f t="shared" ref="C96:R96" si="32">SUM(C83:C95)</f>
        <v>6471648.2066000002</v>
      </c>
      <c r="D96" s="146">
        <f t="shared" si="32"/>
        <v>0</v>
      </c>
      <c r="E96" s="146">
        <f t="shared" si="32"/>
        <v>6471648.2066000002</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6471648.2066000002</v>
      </c>
      <c r="S96" s="150">
        <f>SUM(S84:S87,S89:S95)</f>
        <v>5888917.0716000004</v>
      </c>
      <c r="T96" s="146">
        <f>SUM(T84:T87,T89:T95)</f>
        <v>0</v>
      </c>
      <c r="U96" s="143"/>
    </row>
    <row r="97" spans="1:21" s="144" customFormat="1">
      <c r="A97" s="149" t="s">
        <v>784</v>
      </c>
      <c r="B97" s="146">
        <f>SUM(C97:D97)</f>
        <v>69437783.361965939</v>
      </c>
      <c r="C97" s="146">
        <f t="shared" ref="C97:R97" si="33">SUM(C63+C70+C77+C81+C96)</f>
        <v>69437783.361965939</v>
      </c>
      <c r="D97" s="146">
        <f t="shared" si="33"/>
        <v>0</v>
      </c>
      <c r="E97" s="146">
        <f t="shared" si="33"/>
        <v>47347783.361965939</v>
      </c>
      <c r="F97" s="146">
        <f t="shared" si="33"/>
        <v>18090000</v>
      </c>
      <c r="G97" s="146">
        <f t="shared" si="33"/>
        <v>4000000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69437783.361965939</v>
      </c>
      <c r="S97" s="146">
        <f>SUM(S63+S70+S81+S96)</f>
        <v>62045406.704933323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9306811.0057399999</v>
      </c>
      <c r="C99" s="1011">
        <v>9306811.0057399999</v>
      </c>
      <c r="D99" s="1011"/>
      <c r="E99" s="1011">
        <f t="shared" ref="E99" si="34">C99-SUM(F99:Q99)</f>
        <v>3621957.1380340736</v>
      </c>
      <c r="F99" s="147"/>
      <c r="G99" s="147"/>
      <c r="H99" s="147">
        <f>H108</f>
        <v>5684853.8677059263</v>
      </c>
      <c r="I99" s="147"/>
      <c r="J99" s="147"/>
      <c r="K99" s="147"/>
      <c r="L99" s="147"/>
      <c r="M99" s="147"/>
      <c r="N99" s="147"/>
      <c r="O99" s="147"/>
      <c r="P99" s="147"/>
      <c r="Q99" s="147"/>
      <c r="R99" s="550">
        <f>SUM(E99:Q99)</f>
        <v>9306811.0057399999</v>
      </c>
      <c r="S99" s="147">
        <v>9306811.0057399999</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0"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9306811.0057399999</v>
      </c>
      <c r="C104" s="146">
        <f>SUM(C99:C103)</f>
        <v>9306811.0057399999</v>
      </c>
      <c r="D104" s="146">
        <f t="shared" ref="D104:T104" si="35">SUM(D99:D103)</f>
        <v>0</v>
      </c>
      <c r="E104" s="146">
        <f t="shared" si="35"/>
        <v>3621957.1380340736</v>
      </c>
      <c r="F104" s="146">
        <f t="shared" si="35"/>
        <v>0</v>
      </c>
      <c r="G104" s="146">
        <f t="shared" si="35"/>
        <v>0</v>
      </c>
      <c r="H104" s="146">
        <f t="shared" si="35"/>
        <v>5684853.8677059263</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9306811.0057399999</v>
      </c>
      <c r="S104" s="150">
        <f t="shared" si="35"/>
        <v>9306811.0057399999</v>
      </c>
      <c r="T104" s="150">
        <f t="shared" si="35"/>
        <v>0</v>
      </c>
      <c r="U104" s="143"/>
    </row>
    <row r="105" spans="1:21" s="144" customFormat="1">
      <c r="A105" s="149" t="s">
        <v>789</v>
      </c>
      <c r="B105" s="150">
        <f>SUM(C105:D105)</f>
        <v>78744594.367705941</v>
      </c>
      <c r="C105" s="150">
        <f t="shared" ref="C105:R105" si="36">SUM(C97+C104)</f>
        <v>78744594.367705941</v>
      </c>
      <c r="D105" s="150">
        <f t="shared" si="36"/>
        <v>0</v>
      </c>
      <c r="E105" s="150">
        <f t="shared" si="36"/>
        <v>50969740.500000015</v>
      </c>
      <c r="F105" s="150">
        <f t="shared" si="36"/>
        <v>18090000</v>
      </c>
      <c r="G105" s="150">
        <f t="shared" si="36"/>
        <v>4000000</v>
      </c>
      <c r="H105" s="150">
        <f t="shared" si="36"/>
        <v>5684853.8677059263</v>
      </c>
      <c r="I105" s="150">
        <f t="shared" si="36"/>
        <v>0</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70">
        <f t="shared" si="36"/>
        <v>78744594.367705941</v>
      </c>
      <c r="S105" s="150">
        <f>S97+S104</f>
        <v>71352217.710673317</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71352217.710673317</v>
      </c>
      <c r="T107" s="150">
        <f>T105+T106</f>
        <v>0</v>
      </c>
    </row>
    <row r="108" spans="1:21" s="201" customFormat="1">
      <c r="A108" s="162" t="s">
        <v>889</v>
      </c>
      <c r="B108" s="157"/>
      <c r="C108" s="157"/>
      <c r="D108" s="157"/>
      <c r="E108" s="323">
        <f>Application!AO640</f>
        <v>50969740.5</v>
      </c>
      <c r="F108" s="323">
        <f>Application!AO627</f>
        <v>18090000</v>
      </c>
      <c r="G108" s="323">
        <f>Application!AO628</f>
        <v>4000000</v>
      </c>
      <c r="H108" s="323">
        <f>Application!AO629</f>
        <v>5684853.8677059263</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2401</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1" t="s">
        <v>1012</v>
      </c>
      <c r="E122" s="1881"/>
      <c r="F122" s="1881"/>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3" t="s">
        <v>1329</v>
      </c>
      <c r="E123" s="1533"/>
      <c r="F123" s="1533"/>
      <c r="G123" s="1533"/>
      <c r="H123" s="1533"/>
      <c r="I123" s="1533"/>
      <c r="J123" s="1533"/>
      <c r="K123" s="1533"/>
      <c r="L123" s="1533"/>
      <c r="M123" s="1533"/>
      <c r="N123" s="1533"/>
      <c r="O123" s="1533"/>
      <c r="P123" s="1533"/>
      <c r="Q123" s="1533"/>
      <c r="R123" s="1533"/>
      <c r="S123" s="1533"/>
      <c r="T123" s="352"/>
      <c r="U123" s="354"/>
    </row>
    <row r="124" spans="1:21" ht="12.75">
      <c r="A124" s="117" t="s">
        <v>1014</v>
      </c>
      <c r="B124" s="361"/>
      <c r="C124" s="117"/>
      <c r="D124" s="1533"/>
      <c r="E124" s="1533"/>
      <c r="F124" s="1533"/>
      <c r="G124" s="1533"/>
      <c r="H124" s="1533"/>
      <c r="I124" s="1533"/>
      <c r="J124" s="1533"/>
      <c r="K124" s="1533"/>
      <c r="L124" s="1533"/>
      <c r="M124" s="1533"/>
      <c r="N124" s="1533"/>
      <c r="O124" s="1533"/>
      <c r="P124" s="1533"/>
      <c r="Q124" s="1533"/>
      <c r="R124" s="1533"/>
      <c r="S124" s="1533"/>
      <c r="T124" s="352"/>
      <c r="U124" s="354"/>
    </row>
    <row r="125" spans="1:21" ht="12.75">
      <c r="A125" s="117" t="s">
        <v>1015</v>
      </c>
      <c r="B125" s="361"/>
      <c r="C125" s="117"/>
      <c r="D125" s="1533"/>
      <c r="E125" s="1533"/>
      <c r="F125" s="1533"/>
      <c r="G125" s="1533"/>
      <c r="H125" s="1533"/>
      <c r="I125" s="1533"/>
      <c r="J125" s="1533"/>
      <c r="K125" s="1533"/>
      <c r="L125" s="1533"/>
      <c r="M125" s="1533"/>
      <c r="N125" s="1533"/>
      <c r="O125" s="1533"/>
      <c r="P125" s="1533"/>
      <c r="Q125" s="1533"/>
      <c r="R125" s="1533"/>
      <c r="S125" s="1533"/>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300</v>
      </c>
      <c r="B129" s="361"/>
      <c r="C129" s="117"/>
      <c r="D129" s="1880" t="s">
        <v>1019</v>
      </c>
      <c r="E129" s="1880"/>
      <c r="F129" s="1880"/>
      <c r="G129" s="1880"/>
      <c r="H129" s="1880"/>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514"/>
      <c r="E131" s="1514"/>
      <c r="F131" s="1514"/>
      <c r="G131" s="1514"/>
      <c r="H131" s="1514"/>
      <c r="I131" s="117"/>
      <c r="J131" s="1514"/>
      <c r="K131" s="1514"/>
      <c r="L131" s="1514"/>
      <c r="M131" s="1514"/>
      <c r="N131" s="117"/>
      <c r="O131" s="117"/>
      <c r="P131" s="117"/>
      <c r="Q131" s="117"/>
      <c r="R131" s="117"/>
      <c r="S131" s="117"/>
      <c r="T131" s="352"/>
      <c r="U131" s="354"/>
    </row>
    <row r="132" spans="1:21" ht="12" customHeight="1">
      <c r="A132" s="364"/>
      <c r="B132" s="117"/>
      <c r="C132" s="117"/>
      <c r="D132" s="1874" t="s">
        <v>1022</v>
      </c>
      <c r="E132" s="1874"/>
      <c r="F132" s="1874"/>
      <c r="G132" s="1874"/>
      <c r="H132" s="1874"/>
      <c r="I132" s="117"/>
      <c r="J132" s="1874" t="s">
        <v>1023</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1026</v>
      </c>
      <c r="B139" s="1871"/>
      <c r="C139" s="1871"/>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0" workbookViewId="0">
      <selection activeCell="C31" sqref="C3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1332</v>
      </c>
      <c r="B1" s="1885"/>
      <c r="C1" s="1885"/>
      <c r="D1" s="1885"/>
      <c r="E1" s="1885"/>
      <c r="F1" s="1885"/>
      <c r="G1" s="1885"/>
      <c r="H1" s="1885"/>
      <c r="I1" s="1885"/>
      <c r="J1" s="1886"/>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3025000</v>
      </c>
      <c r="C4" s="393">
        <f>B4</f>
        <v>3025000</v>
      </c>
      <c r="D4" s="393"/>
      <c r="E4" s="394"/>
      <c r="F4" s="394"/>
      <c r="G4" s="394"/>
      <c r="H4" s="394"/>
      <c r="I4" s="394"/>
      <c r="J4" s="394"/>
      <c r="K4" s="390"/>
    </row>
    <row r="5" spans="1:11" s="391" customFormat="1">
      <c r="A5" s="395" t="s">
        <v>28</v>
      </c>
      <c r="B5" s="392">
        <f>'Sources and Uses Budget'!C5</f>
        <v>91250</v>
      </c>
      <c r="C5" s="393">
        <f>B5</f>
        <v>91250</v>
      </c>
      <c r="D5" s="393"/>
      <c r="E5" s="394"/>
      <c r="F5" s="394"/>
      <c r="G5" s="394"/>
      <c r="H5" s="394"/>
      <c r="I5" s="394"/>
      <c r="J5" s="394"/>
      <c r="K5" s="390"/>
    </row>
    <row r="6" spans="1:11" s="391" customFormat="1">
      <c r="A6" s="395" t="s">
        <v>29</v>
      </c>
      <c r="B6" s="392">
        <f>'Sources and Uses Budget'!C6</f>
        <v>0</v>
      </c>
      <c r="C6" s="393">
        <f>B6</f>
        <v>0</v>
      </c>
      <c r="D6" s="393"/>
      <c r="E6" s="394"/>
      <c r="F6" s="394"/>
      <c r="G6" s="394"/>
      <c r="H6" s="394"/>
      <c r="I6" s="394"/>
      <c r="J6" s="394"/>
      <c r="K6" s="390"/>
    </row>
    <row r="7" spans="1:11" s="391" customFormat="1">
      <c r="A7" s="395" t="s">
        <v>97</v>
      </c>
      <c r="B7" s="392">
        <f>'Sources and Uses Budget'!C7</f>
        <v>0</v>
      </c>
      <c r="C7" s="393">
        <f>B7</f>
        <v>0</v>
      </c>
      <c r="D7" s="393"/>
      <c r="E7" s="394"/>
      <c r="F7" s="394"/>
      <c r="G7" s="394"/>
      <c r="H7" s="394"/>
      <c r="I7" s="394"/>
      <c r="J7" s="394"/>
      <c r="K7" s="390"/>
    </row>
    <row r="8" spans="1:11" s="391" customFormat="1">
      <c r="A8" s="396" t="s">
        <v>601</v>
      </c>
      <c r="B8" s="392">
        <f>'Sources and Uses Budget'!C8</f>
        <v>3116250</v>
      </c>
      <c r="C8" s="392">
        <f>SUM(C4:C7)</f>
        <v>3116250</v>
      </c>
      <c r="D8" s="392">
        <f>SUM(D4:D7)</f>
        <v>0</v>
      </c>
      <c r="E8" s="394"/>
      <c r="F8" s="394"/>
      <c r="G8" s="394"/>
      <c r="H8" s="394"/>
      <c r="I8" s="394"/>
      <c r="J8" s="394"/>
      <c r="K8" s="390"/>
    </row>
    <row r="9" spans="1:11" s="391" customFormat="1">
      <c r="A9" s="395" t="s">
        <v>602</v>
      </c>
      <c r="B9" s="392">
        <f>'Sources and Uses Budget'!C9</f>
        <v>0</v>
      </c>
      <c r="C9" s="393">
        <f>B9</f>
        <v>0</v>
      </c>
      <c r="D9" s="393"/>
      <c r="E9" s="394"/>
      <c r="F9" s="394"/>
      <c r="G9" s="394"/>
      <c r="H9" s="392">
        <f>'Sources and Uses Budget'!T9</f>
        <v>0</v>
      </c>
      <c r="I9" s="393"/>
      <c r="J9" s="393"/>
      <c r="K9" s="390"/>
    </row>
    <row r="10" spans="1:11" s="391" customFormat="1">
      <c r="A10" s="395" t="s">
        <v>603</v>
      </c>
      <c r="B10" s="392">
        <f>'Sources and Uses Budget'!C10</f>
        <v>106400</v>
      </c>
      <c r="C10" s="393">
        <f>B10</f>
        <v>106400</v>
      </c>
      <c r="D10" s="393"/>
      <c r="E10" s="392">
        <f>'Sources and Uses Budget'!S10</f>
        <v>106400</v>
      </c>
      <c r="F10" s="393">
        <f>E10</f>
        <v>106400</v>
      </c>
      <c r="G10" s="393"/>
      <c r="H10" s="392">
        <f>'Sources and Uses Budget'!T10</f>
        <v>0</v>
      </c>
      <c r="I10" s="393"/>
      <c r="J10" s="393"/>
      <c r="K10" s="390"/>
    </row>
    <row r="11" spans="1:11" s="391" customFormat="1">
      <c r="A11" s="396" t="s">
        <v>604</v>
      </c>
      <c r="B11" s="392">
        <f>'Sources and Uses Budget'!C11</f>
        <v>106400</v>
      </c>
      <c r="C11" s="392">
        <f>SUM(C9:C10)</f>
        <v>106400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3222650</v>
      </c>
      <c r="C12" s="392">
        <f>SUM(C8+C11)</f>
        <v>3222650</v>
      </c>
      <c r="D12" s="392">
        <f>SUM(D8+D11)</f>
        <v>0</v>
      </c>
      <c r="E12" s="394"/>
      <c r="F12" s="394"/>
      <c r="G12" s="394"/>
      <c r="H12" s="394"/>
      <c r="I12" s="394"/>
      <c r="J12" s="394"/>
      <c r="K12" s="390"/>
    </row>
    <row r="13" spans="1:11" s="391" customFormat="1">
      <c r="A13" s="397" t="s">
        <v>915</v>
      </c>
      <c r="B13" s="392">
        <f>'Sources and Uses Budget'!C13</f>
        <v>375284.375</v>
      </c>
      <c r="C13" s="393">
        <f>B13</f>
        <v>375284.375</v>
      </c>
      <c r="D13" s="393"/>
      <c r="E13" s="392">
        <f>'Sources and Uses Budget'!S13</f>
        <v>116156.25</v>
      </c>
      <c r="F13" s="393">
        <f>E13</f>
        <v>116156.25</v>
      </c>
      <c r="G13" s="393"/>
      <c r="H13" s="392">
        <f>'Sources and Uses Budget'!T13</f>
        <v>0</v>
      </c>
      <c r="I13" s="393"/>
      <c r="J13" s="393"/>
      <c r="K13" s="390"/>
    </row>
    <row r="14" spans="1:11" s="391" customFormat="1" ht="24">
      <c r="A14" s="395" t="s">
        <v>916</v>
      </c>
      <c r="B14" s="392">
        <f>'Sources and Uses Budget'!C14</f>
        <v>0</v>
      </c>
      <c r="C14" s="393">
        <f>B14</f>
        <v>0</v>
      </c>
      <c r="D14" s="393"/>
      <c r="E14" s="392">
        <f>'Sources and Uses Budget'!S14</f>
        <v>0</v>
      </c>
      <c r="F14" s="393">
        <f>E14</f>
        <v>0</v>
      </c>
      <c r="G14" s="393"/>
      <c r="H14" s="392">
        <f>'Sources and Uses Budget'!T14</f>
        <v>0</v>
      </c>
      <c r="I14" s="393"/>
      <c r="J14" s="393"/>
      <c r="K14" s="390"/>
    </row>
    <row r="15" spans="1:11" s="391" customFormat="1">
      <c r="A15" s="395" t="s">
        <v>1264</v>
      </c>
      <c r="B15" s="392">
        <f>'Sources and Uses Budget'!C15</f>
        <v>0</v>
      </c>
      <c r="C15" s="393">
        <f>B15</f>
        <v>0</v>
      </c>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250000</v>
      </c>
      <c r="C29" s="393">
        <f>B29</f>
        <v>250000</v>
      </c>
      <c r="D29" s="393"/>
      <c r="E29" s="392">
        <f>'Sources and Uses Budget'!S29</f>
        <v>250000</v>
      </c>
      <c r="F29" s="393">
        <f>E29</f>
        <v>250000</v>
      </c>
      <c r="G29" s="393"/>
      <c r="H29" s="392">
        <f>'Sources and Uses Budget'!T29</f>
        <v>0</v>
      </c>
      <c r="I29" s="393"/>
      <c r="J29" s="393"/>
      <c r="K29" s="390"/>
    </row>
    <row r="30" spans="1:11" s="391" customFormat="1">
      <c r="A30" s="145" t="s">
        <v>607</v>
      </c>
      <c r="B30" s="392">
        <f>'Sources and Uses Budget'!C30</f>
        <v>39209777</v>
      </c>
      <c r="C30" s="393">
        <f t="shared" ref="C30:C37" si="0">B30</f>
        <v>39209777</v>
      </c>
      <c r="D30" s="393"/>
      <c r="E30" s="392">
        <f>'Sources and Uses Budget'!S30</f>
        <v>39209777</v>
      </c>
      <c r="F30" s="393">
        <f t="shared" ref="F30:F37" si="1">E30</f>
        <v>39209777</v>
      </c>
      <c r="G30" s="393"/>
      <c r="H30" s="392">
        <f>'Sources and Uses Budget'!T30</f>
        <v>0</v>
      </c>
      <c r="I30" s="393"/>
      <c r="J30" s="393"/>
      <c r="K30" s="390"/>
    </row>
    <row r="31" spans="1:11" s="391" customFormat="1">
      <c r="A31" s="145" t="s">
        <v>608</v>
      </c>
      <c r="B31" s="392">
        <f>'Sources and Uses Budget'!C31</f>
        <v>2491375</v>
      </c>
      <c r="C31" s="393">
        <f t="shared" si="0"/>
        <v>2491375</v>
      </c>
      <c r="D31" s="393"/>
      <c r="E31" s="392">
        <f>'Sources and Uses Budget'!S31</f>
        <v>2491375</v>
      </c>
      <c r="F31" s="393">
        <f t="shared" si="1"/>
        <v>2491375</v>
      </c>
      <c r="G31" s="393"/>
      <c r="H31" s="392">
        <f>'Sources and Uses Budget'!T31</f>
        <v>0</v>
      </c>
      <c r="I31" s="393"/>
      <c r="J31" s="393"/>
      <c r="K31" s="390"/>
    </row>
    <row r="32" spans="1:11" s="391" customFormat="1">
      <c r="A32" s="145" t="s">
        <v>137</v>
      </c>
      <c r="B32" s="392">
        <f>'Sources and Uses Budget'!C32</f>
        <v>0</v>
      </c>
      <c r="C32" s="393">
        <f t="shared" si="0"/>
        <v>0</v>
      </c>
      <c r="D32" s="393"/>
      <c r="E32" s="392">
        <f>'Sources and Uses Budget'!S32</f>
        <v>0</v>
      </c>
      <c r="F32" s="393">
        <f t="shared" si="1"/>
        <v>0</v>
      </c>
      <c r="G32" s="393"/>
      <c r="H32" s="392">
        <f>'Sources and Uses Budget'!T32</f>
        <v>0</v>
      </c>
      <c r="I32" s="393"/>
      <c r="J32" s="393"/>
      <c r="K32" s="390"/>
    </row>
    <row r="33" spans="1:11" s="391" customFormat="1">
      <c r="A33" s="145" t="s">
        <v>138</v>
      </c>
      <c r="B33" s="392">
        <f>'Sources and Uses Budget'!C33</f>
        <v>1927663</v>
      </c>
      <c r="C33" s="393">
        <f t="shared" si="0"/>
        <v>1927663</v>
      </c>
      <c r="D33" s="393"/>
      <c r="E33" s="392">
        <f>'Sources and Uses Budget'!S33</f>
        <v>1927663</v>
      </c>
      <c r="F33" s="393">
        <f t="shared" si="1"/>
        <v>1927663</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318000</v>
      </c>
      <c r="C35" s="393">
        <f t="shared" si="0"/>
        <v>318000</v>
      </c>
      <c r="D35" s="393"/>
      <c r="E35" s="392">
        <f>'Sources and Uses Budget'!S35</f>
        <v>318000</v>
      </c>
      <c r="F35" s="393">
        <f t="shared" si="1"/>
        <v>318000</v>
      </c>
      <c r="G35" s="393"/>
      <c r="H35" s="392">
        <f>'Sources and Uses Budget'!T35</f>
        <v>0</v>
      </c>
      <c r="I35" s="393"/>
      <c r="J35" s="393"/>
      <c r="K35" s="390"/>
    </row>
    <row r="36" spans="1:11" s="391" customFormat="1">
      <c r="A36" s="542" t="s">
        <v>1751</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ht="24">
      <c r="A37" s="395" t="str">
        <f>'Sources and Uses Budget'!$A37</f>
        <v>Other: (Payment and Preformance Bonds)</v>
      </c>
      <c r="B37" s="392">
        <f>'Sources and Uses Budget'!C37</f>
        <v>433426</v>
      </c>
      <c r="C37" s="393">
        <f t="shared" si="0"/>
        <v>433426</v>
      </c>
      <c r="D37" s="393"/>
      <c r="E37" s="392">
        <f>'Sources and Uses Budget'!S37</f>
        <v>433426</v>
      </c>
      <c r="F37" s="393">
        <f t="shared" si="1"/>
        <v>433426</v>
      </c>
      <c r="G37" s="393"/>
      <c r="H37" s="392">
        <f>'Sources and Uses Budget'!T37</f>
        <v>0</v>
      </c>
      <c r="I37" s="393"/>
      <c r="J37" s="393"/>
      <c r="K37" s="390"/>
    </row>
    <row r="38" spans="1:11" s="391" customFormat="1">
      <c r="A38" s="396" t="s">
        <v>143</v>
      </c>
      <c r="B38" s="392">
        <f>'Sources and Uses Budget'!C38</f>
        <v>44630241</v>
      </c>
      <c r="C38" s="392">
        <f>SUM(C29:C37)</f>
        <v>44630241</v>
      </c>
      <c r="D38" s="392">
        <f>SUM(D29:D37)</f>
        <v>0</v>
      </c>
      <c r="E38" s="392">
        <f>'Sources and Uses Budget'!S38</f>
        <v>44630241</v>
      </c>
      <c r="F38" s="398">
        <f>SUM(F29:F37)</f>
        <v>44630241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793220</v>
      </c>
      <c r="C40" s="393">
        <f>B40</f>
        <v>793220</v>
      </c>
      <c r="D40" s="393"/>
      <c r="E40" s="392">
        <f>'Sources and Uses Budget'!S40</f>
        <v>793220</v>
      </c>
      <c r="F40" s="393">
        <f>E40</f>
        <v>793220</v>
      </c>
      <c r="G40" s="393"/>
      <c r="H40" s="392">
        <f>'Sources and Uses Budget'!T40</f>
        <v>0</v>
      </c>
      <c r="I40" s="393"/>
      <c r="J40" s="393"/>
      <c r="K40" s="390"/>
    </row>
    <row r="41" spans="1:11" s="391" customFormat="1">
      <c r="A41" s="395" t="s">
        <v>146</v>
      </c>
      <c r="B41" s="392">
        <f>'Sources and Uses Budget'!C41</f>
        <v>300000</v>
      </c>
      <c r="C41" s="393">
        <f>B41</f>
        <v>300000</v>
      </c>
      <c r="D41" s="393"/>
      <c r="E41" s="392">
        <f>'Sources and Uses Budget'!S41</f>
        <v>300000</v>
      </c>
      <c r="F41" s="393">
        <f>E41</f>
        <v>300000</v>
      </c>
      <c r="G41" s="393"/>
      <c r="H41" s="392">
        <f>'Sources and Uses Budget'!T41</f>
        <v>0</v>
      </c>
      <c r="I41" s="393"/>
      <c r="J41" s="393"/>
      <c r="K41" s="390"/>
    </row>
    <row r="42" spans="1:11" s="391" customFormat="1">
      <c r="A42" s="396" t="s">
        <v>147</v>
      </c>
      <c r="B42" s="392">
        <f>'Sources and Uses Budget'!C42</f>
        <v>1093220</v>
      </c>
      <c r="C42" s="392">
        <f>SUM(C39:C41)</f>
        <v>1093220</v>
      </c>
      <c r="D42" s="392">
        <f>SUM(D39:D41)</f>
        <v>0</v>
      </c>
      <c r="E42" s="392">
        <f>'Sources and Uses Budget'!S42</f>
        <v>1093220</v>
      </c>
      <c r="F42" s="398">
        <f>SUM(F40:F41)</f>
        <v>1093220</v>
      </c>
      <c r="G42" s="398">
        <f>SUM(G40:G41)</f>
        <v>0</v>
      </c>
      <c r="H42" s="392">
        <f>'Sources and Uses Budget'!T42</f>
        <v>0</v>
      </c>
      <c r="I42" s="398">
        <f>SUM(I40:I41)</f>
        <v>0</v>
      </c>
      <c r="J42" s="398">
        <f>SUM(J40:J41)</f>
        <v>0</v>
      </c>
      <c r="K42" s="390"/>
    </row>
    <row r="43" spans="1:11" s="391" customFormat="1">
      <c r="A43" s="396" t="s">
        <v>148</v>
      </c>
      <c r="B43" s="392">
        <f>'Sources and Uses Budget'!C43</f>
        <v>913432</v>
      </c>
      <c r="C43" s="393">
        <f>B43</f>
        <v>913432</v>
      </c>
      <c r="D43" s="393"/>
      <c r="E43" s="392">
        <f>'Sources and Uses Budget'!S43</f>
        <v>913432</v>
      </c>
      <c r="F43" s="393">
        <f>E43</f>
        <v>913432</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4132833.3333333326</v>
      </c>
      <c r="C45" s="393">
        <f>B45</f>
        <v>4132833.3333333326</v>
      </c>
      <c r="D45" s="393"/>
      <c r="E45" s="392">
        <f>'Sources and Uses Budget'!S45</f>
        <v>4132833.3333333326</v>
      </c>
      <c r="F45" s="393">
        <f>E45</f>
        <v>4132833.3333333326</v>
      </c>
      <c r="G45" s="393"/>
      <c r="H45" s="392">
        <f>'Sources and Uses Budget'!T45</f>
        <v>0</v>
      </c>
      <c r="I45" s="393"/>
      <c r="J45" s="393"/>
      <c r="K45" s="390"/>
    </row>
    <row r="46" spans="1:11" s="391" customFormat="1">
      <c r="A46" s="395" t="s">
        <v>151</v>
      </c>
      <c r="B46" s="392">
        <f>'Sources and Uses Budget'!C46</f>
        <v>508750</v>
      </c>
      <c r="C46" s="393">
        <f t="shared" ref="C46:C53" si="2">B46</f>
        <v>508750</v>
      </c>
      <c r="D46" s="393"/>
      <c r="E46" s="392">
        <f>'Sources and Uses Budget'!S46</f>
        <v>391562.5</v>
      </c>
      <c r="F46" s="393">
        <f t="shared" ref="F46:F53" si="3">E46</f>
        <v>391562.5</v>
      </c>
      <c r="G46" s="393"/>
      <c r="H46" s="392">
        <f>'Sources and Uses Budget'!T46</f>
        <v>0</v>
      </c>
      <c r="I46" s="393"/>
      <c r="J46" s="393"/>
      <c r="K46" s="390"/>
    </row>
    <row r="47" spans="1:11" s="391" customFormat="1" ht="12" customHeight="1">
      <c r="A47" s="395" t="s">
        <v>152</v>
      </c>
      <c r="B47" s="392">
        <f>'Sources and Uses Budget'!C47</f>
        <v>95000</v>
      </c>
      <c r="C47" s="393">
        <f t="shared" si="2"/>
        <v>95000</v>
      </c>
      <c r="D47" s="393"/>
      <c r="E47" s="392">
        <f>'Sources and Uses Budget'!S47</f>
        <v>86250</v>
      </c>
      <c r="F47" s="393">
        <f t="shared" si="3"/>
        <v>86250</v>
      </c>
      <c r="G47" s="393"/>
      <c r="H47" s="392">
        <f>'Sources and Uses Budget'!T47</f>
        <v>0</v>
      </c>
      <c r="I47" s="393"/>
      <c r="J47" s="393"/>
      <c r="K47" s="390"/>
    </row>
    <row r="48" spans="1:11" s="391" customFormat="1">
      <c r="A48" s="395" t="s">
        <v>153</v>
      </c>
      <c r="B48" s="392">
        <f>'Sources and Uses Budget'!C48</f>
        <v>167083.33333333331</v>
      </c>
      <c r="C48" s="393">
        <f t="shared" si="2"/>
        <v>167083.33333333331</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131000</v>
      </c>
      <c r="C49" s="393">
        <f t="shared" si="2"/>
        <v>131000</v>
      </c>
      <c r="D49" s="393"/>
      <c r="E49" s="392">
        <f>'Sources and Uses Budget'!S49</f>
        <v>93750</v>
      </c>
      <c r="F49" s="393">
        <f t="shared" si="3"/>
        <v>93750</v>
      </c>
      <c r="G49" s="393"/>
      <c r="H49" s="392">
        <f>'Sources and Uses Budget'!T49</f>
        <v>0</v>
      </c>
      <c r="I49" s="393"/>
      <c r="J49" s="393"/>
      <c r="K49" s="390"/>
    </row>
    <row r="50" spans="1:11" s="391" customFormat="1">
      <c r="A50" s="395" t="s">
        <v>156</v>
      </c>
      <c r="B50" s="392">
        <f>'Sources and Uses Budget'!C50</f>
        <v>40000</v>
      </c>
      <c r="C50" s="393">
        <f t="shared" si="2"/>
        <v>40000</v>
      </c>
      <c r="D50" s="393"/>
      <c r="E50" s="392">
        <f>'Sources and Uses Budget'!S50</f>
        <v>40000</v>
      </c>
      <c r="F50" s="393">
        <f t="shared" si="3"/>
        <v>40000</v>
      </c>
      <c r="G50" s="393"/>
      <c r="H50" s="392">
        <f>'Sources and Uses Budget'!T50</f>
        <v>0</v>
      </c>
      <c r="I50" s="393"/>
      <c r="J50" s="393"/>
      <c r="K50" s="390"/>
    </row>
    <row r="51" spans="1:11" s="391" customFormat="1">
      <c r="A51" s="395" t="s">
        <v>154</v>
      </c>
      <c r="B51" s="392">
        <f>'Sources and Uses Budget'!C51</f>
        <v>1400000</v>
      </c>
      <c r="C51" s="393">
        <f t="shared" si="2"/>
        <v>1400000</v>
      </c>
      <c r="D51" s="393"/>
      <c r="E51" s="392">
        <f>'Sources and Uses Budget'!S51</f>
        <v>1400000</v>
      </c>
      <c r="F51" s="393">
        <f t="shared" si="3"/>
        <v>1400000</v>
      </c>
      <c r="G51" s="393"/>
      <c r="H51" s="392">
        <f>'Sources and Uses Budget'!T51</f>
        <v>0</v>
      </c>
      <c r="I51" s="393"/>
      <c r="J51" s="393"/>
      <c r="K51" s="390"/>
    </row>
    <row r="52" spans="1:11" s="391" customFormat="1">
      <c r="A52" s="395" t="s">
        <v>155</v>
      </c>
      <c r="B52" s="392">
        <f>'Sources and Uses Budget'!C52</f>
        <v>0</v>
      </c>
      <c r="C52" s="393">
        <f t="shared" si="2"/>
        <v>0</v>
      </c>
      <c r="D52" s="393"/>
      <c r="E52" s="392">
        <f>'Sources and Uses Budget'!S52</f>
        <v>0</v>
      </c>
      <c r="F52" s="393">
        <f t="shared" si="3"/>
        <v>0</v>
      </c>
      <c r="G52" s="393"/>
      <c r="H52" s="392">
        <f>'Sources and Uses Budget'!T52</f>
        <v>0</v>
      </c>
      <c r="I52" s="393"/>
      <c r="J52" s="393"/>
      <c r="K52" s="390"/>
    </row>
    <row r="53" spans="1:11" s="391" customFormat="1">
      <c r="A53" s="395" t="str">
        <f>'Sources and Uses Budget'!$A53</f>
        <v>Other: (Specify)</v>
      </c>
      <c r="B53" s="392">
        <f>'Sources and Uses Budget'!C53</f>
        <v>0</v>
      </c>
      <c r="C53" s="393">
        <f t="shared" si="2"/>
        <v>0</v>
      </c>
      <c r="D53" s="393"/>
      <c r="E53" s="392">
        <f>'Sources and Uses Budget'!S53</f>
        <v>0</v>
      </c>
      <c r="F53" s="393">
        <f t="shared" si="3"/>
        <v>0</v>
      </c>
      <c r="G53" s="393"/>
      <c r="H53" s="392">
        <f>'Sources and Uses Budget'!T53</f>
        <v>0</v>
      </c>
      <c r="I53" s="393"/>
      <c r="J53" s="393"/>
      <c r="K53" s="390"/>
    </row>
    <row r="54" spans="1:11" s="400" customFormat="1">
      <c r="A54" s="396" t="s">
        <v>157</v>
      </c>
      <c r="B54" s="392">
        <f>'Sources and Uses Budget'!C54</f>
        <v>6474666.6666666651</v>
      </c>
      <c r="C54" s="398">
        <f>SUM(C45:C53)</f>
        <v>6474666.6666666651</v>
      </c>
      <c r="D54" s="398">
        <f>SUM(D45:D53)</f>
        <v>0</v>
      </c>
      <c r="E54" s="392">
        <f>'Sources and Uses Budget'!S54</f>
        <v>6144395.8333333321</v>
      </c>
      <c r="F54" s="398">
        <f>SUM(F45:F53)</f>
        <v>6144395.8333333321</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271350</v>
      </c>
      <c r="C56" s="393">
        <f>B56</f>
        <v>271350</v>
      </c>
      <c r="D56" s="393"/>
      <c r="E56" s="394"/>
      <c r="F56" s="394"/>
      <c r="G56" s="394"/>
      <c r="H56" s="394"/>
      <c r="I56" s="394"/>
      <c r="J56" s="394"/>
      <c r="K56" s="390"/>
    </row>
    <row r="57" spans="1:11" s="391" customFormat="1" ht="12" customHeight="1">
      <c r="A57" s="395" t="s">
        <v>152</v>
      </c>
      <c r="B57" s="392">
        <f>'Sources and Uses Budget'!C57</f>
        <v>55000</v>
      </c>
      <c r="C57" s="393">
        <f t="shared" ref="C57:C61" si="4">B57</f>
        <v>55000</v>
      </c>
      <c r="D57" s="393"/>
      <c r="E57" s="394"/>
      <c r="F57" s="394"/>
      <c r="G57" s="394"/>
      <c r="H57" s="394"/>
      <c r="I57" s="394"/>
      <c r="J57" s="394"/>
      <c r="K57" s="390"/>
    </row>
    <row r="58" spans="1:11" s="391" customFormat="1">
      <c r="A58" s="395" t="s">
        <v>156</v>
      </c>
      <c r="B58" s="392">
        <f>'Sources and Uses Budget'!C58</f>
        <v>43500</v>
      </c>
      <c r="C58" s="393">
        <f t="shared" si="4"/>
        <v>43500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ht="24">
      <c r="A61" s="395" t="str">
        <f>'Sources and Uses Budget'!$A61</f>
        <v>Other: (Perm Loan Interest - Const Lender)</v>
      </c>
      <c r="B61" s="392">
        <f>'Sources and Uses Budget'!C61</f>
        <v>1969910.9051666665</v>
      </c>
      <c r="C61" s="393">
        <f t="shared" si="4"/>
        <v>1969910.9051666665</v>
      </c>
      <c r="D61" s="393"/>
      <c r="E61" s="394"/>
      <c r="F61" s="394"/>
      <c r="G61" s="394"/>
      <c r="H61" s="394"/>
      <c r="I61" s="394"/>
      <c r="J61" s="394"/>
      <c r="K61" s="390"/>
    </row>
    <row r="62" spans="1:11" s="391" customFormat="1" ht="13.7" customHeight="1">
      <c r="A62" s="396" t="s">
        <v>301</v>
      </c>
      <c r="B62" s="392">
        <f>'Sources and Uses Budget'!C62</f>
        <v>2339760.9051666665</v>
      </c>
      <c r="C62" s="392">
        <f>SUM(C56:C61)</f>
        <v>2339760.9051666665</v>
      </c>
      <c r="D62" s="392">
        <f>SUM(D56:D61)</f>
        <v>0</v>
      </c>
      <c r="E62" s="394"/>
      <c r="F62" s="394"/>
      <c r="G62" s="394"/>
      <c r="H62" s="394"/>
      <c r="I62" s="394"/>
      <c r="J62" s="394"/>
      <c r="K62" s="390"/>
    </row>
    <row r="63" spans="1:11" s="391" customFormat="1">
      <c r="A63" s="401" t="s">
        <v>302</v>
      </c>
      <c r="B63" s="392">
        <f>'Sources and Uses Budget'!C63</f>
        <v>59049254.946833327</v>
      </c>
      <c r="C63" s="392">
        <f>SUM(C8+C11+C13+C14+C15+C26+C27+C38+C42+C43+C54+C62)</f>
        <v>59049254.946833327</v>
      </c>
      <c r="D63" s="392">
        <f>SUM(D8+D11+D13+D14+D15+D26+D27+D38+D42+D43+D54+D62)</f>
        <v>0</v>
      </c>
      <c r="E63" s="392">
        <f>'Sources and Uses Budget'!S63</f>
        <v>53003845.083333328</v>
      </c>
      <c r="F63" s="392">
        <f>SUM(F10+F13+F14+F15+F26+F27+F38+F42+F43+F54)</f>
        <v>53003845.083333328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100000</v>
      </c>
      <c r="C65" s="393">
        <f>B65</f>
        <v>100000</v>
      </c>
      <c r="D65" s="393"/>
      <c r="E65" s="392">
        <f>'Sources and Uses Budget'!S65</f>
        <v>48750</v>
      </c>
      <c r="F65" s="393">
        <f>E65</f>
        <v>48750</v>
      </c>
      <c r="G65" s="393"/>
      <c r="H65" s="392">
        <f>'Sources and Uses Budget'!T65</f>
        <v>0</v>
      </c>
      <c r="I65" s="393"/>
      <c r="J65" s="393"/>
      <c r="K65" s="390"/>
    </row>
    <row r="66" spans="1:11" s="391" customFormat="1" ht="24">
      <c r="A66" s="304" t="s">
        <v>1752</v>
      </c>
      <c r="B66" s="392">
        <f>'Sources and Uses Budget'!C66</f>
        <v>0</v>
      </c>
      <c r="C66" s="393">
        <f t="shared" ref="C66:C69" si="5">B66</f>
        <v>0</v>
      </c>
      <c r="D66" s="393"/>
      <c r="E66" s="392">
        <f>'Sources and Uses Budget'!S66</f>
        <v>0</v>
      </c>
      <c r="F66" s="393">
        <f t="shared" ref="F66:F69" si="6">E66</f>
        <v>0</v>
      </c>
      <c r="G66" s="393"/>
      <c r="H66" s="392">
        <f>'Sources and Uses Budget'!T66</f>
        <v>0</v>
      </c>
      <c r="I66" s="393"/>
      <c r="J66" s="393"/>
      <c r="K66" s="390"/>
    </row>
    <row r="67" spans="1:11" s="391" customFormat="1" ht="24">
      <c r="A67" s="304" t="s">
        <v>1753</v>
      </c>
      <c r="B67" s="392">
        <f>'Sources and Uses Budget'!C67</f>
        <v>0</v>
      </c>
      <c r="C67" s="393">
        <f t="shared" si="5"/>
        <v>0</v>
      </c>
      <c r="D67" s="393"/>
      <c r="E67" s="392">
        <f>'Sources and Uses Budget'!S67</f>
        <v>0</v>
      </c>
      <c r="F67" s="393">
        <f t="shared" si="6"/>
        <v>0</v>
      </c>
      <c r="G67" s="393"/>
      <c r="H67" s="392">
        <f>'Sources and Uses Budget'!T67</f>
        <v>0</v>
      </c>
      <c r="I67" s="393"/>
      <c r="J67" s="393"/>
      <c r="K67" s="390"/>
    </row>
    <row r="68" spans="1:11" s="391" customFormat="1">
      <c r="A68" s="304" t="s">
        <v>1759</v>
      </c>
      <c r="B68" s="392">
        <f>'Sources and Uses Budget'!C68</f>
        <v>0</v>
      </c>
      <c r="C68" s="393">
        <f t="shared" si="5"/>
        <v>0</v>
      </c>
      <c r="D68" s="393"/>
      <c r="E68" s="392">
        <f>'Sources and Uses Budget'!S68</f>
        <v>0</v>
      </c>
      <c r="F68" s="393">
        <f t="shared" si="6"/>
        <v>0</v>
      </c>
      <c r="G68" s="393"/>
      <c r="H68" s="392">
        <f>'Sources and Uses Budget'!T68</f>
        <v>0</v>
      </c>
      <c r="I68" s="393"/>
      <c r="J68" s="393"/>
      <c r="K68" s="390"/>
    </row>
    <row r="69" spans="1:11" s="391" customFormat="1">
      <c r="A69" s="395" t="str">
        <f>'Sources and Uses Budget'!$A69</f>
        <v>Other: (Partnership Legal - Other)</v>
      </c>
      <c r="B69" s="392">
        <f>'Sources and Uses Budget'!C69</f>
        <v>260000</v>
      </c>
      <c r="C69" s="393">
        <f t="shared" si="5"/>
        <v>260000</v>
      </c>
      <c r="D69" s="393"/>
      <c r="E69" s="392">
        <f>'Sources and Uses Budget'!S69</f>
        <v>112500</v>
      </c>
      <c r="F69" s="393">
        <f t="shared" si="6"/>
        <v>112500</v>
      </c>
      <c r="G69" s="393"/>
      <c r="H69" s="392">
        <f>'Sources and Uses Budget'!T69</f>
        <v>0</v>
      </c>
      <c r="I69" s="393"/>
      <c r="J69" s="393"/>
      <c r="K69" s="390"/>
    </row>
    <row r="70" spans="1:11" s="391" customFormat="1">
      <c r="A70" s="396" t="s">
        <v>609</v>
      </c>
      <c r="B70" s="392">
        <f>'Sources and Uses Budget'!C70</f>
        <v>360000</v>
      </c>
      <c r="C70" s="392">
        <f>SUM(C64:C69)</f>
        <v>360000</v>
      </c>
      <c r="D70" s="392">
        <f>SUM(D64:D69)</f>
        <v>0</v>
      </c>
      <c r="E70" s="392">
        <f>'Sources and Uses Budget'!S70</f>
        <v>161250</v>
      </c>
      <c r="F70" s="398">
        <f>SUM(F65:F69)</f>
        <v>161250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f>B72</f>
        <v>0</v>
      </c>
      <c r="D72" s="393"/>
      <c r="E72" s="394"/>
      <c r="F72" s="394"/>
      <c r="G72" s="394"/>
      <c r="H72" s="394"/>
      <c r="I72" s="394"/>
      <c r="J72" s="394"/>
      <c r="K72" s="390"/>
    </row>
    <row r="73" spans="1:11" s="391" customFormat="1">
      <c r="A73" s="395" t="s">
        <v>612</v>
      </c>
      <c r="B73" s="392">
        <f>'Sources and Uses Budget'!C73</f>
        <v>0</v>
      </c>
      <c r="C73" s="393">
        <f t="shared" ref="C73:C76" si="7">B73</f>
        <v>0</v>
      </c>
      <c r="D73" s="393"/>
      <c r="E73" s="394"/>
      <c r="F73" s="394"/>
      <c r="G73" s="394"/>
      <c r="H73" s="394"/>
      <c r="I73" s="394"/>
      <c r="J73" s="394"/>
      <c r="K73" s="390"/>
    </row>
    <row r="74" spans="1:11" s="391" customFormat="1">
      <c r="A74" s="397" t="s">
        <v>1005</v>
      </c>
      <c r="B74" s="392">
        <f>'Sources and Uses Budget'!C74</f>
        <v>0</v>
      </c>
      <c r="C74" s="393">
        <f t="shared" si="7"/>
        <v>0</v>
      </c>
      <c r="D74" s="393"/>
      <c r="E74" s="394"/>
      <c r="F74" s="394"/>
      <c r="G74" s="394"/>
      <c r="H74" s="394"/>
      <c r="I74" s="394"/>
      <c r="J74" s="394"/>
      <c r="K74" s="390"/>
    </row>
    <row r="75" spans="1:11" s="391" customFormat="1">
      <c r="A75" s="395" t="s">
        <v>613</v>
      </c>
      <c r="B75" s="392">
        <f>'Sources and Uses Budget'!C75</f>
        <v>565485.65853260877</v>
      </c>
      <c r="C75" s="393">
        <f t="shared" si="7"/>
        <v>565485.65853260877</v>
      </c>
      <c r="D75" s="393"/>
      <c r="E75" s="394"/>
      <c r="F75" s="394"/>
      <c r="G75" s="394"/>
      <c r="H75" s="394"/>
      <c r="I75" s="394"/>
      <c r="J75" s="394"/>
      <c r="K75" s="390"/>
    </row>
    <row r="76" spans="1:11" s="391" customFormat="1">
      <c r="A76" s="395" t="str">
        <f>'Sources and Uses Budget'!$A76</f>
        <v>Other: (Specify)</v>
      </c>
      <c r="B76" s="392">
        <f>'Sources and Uses Budget'!C76</f>
        <v>0</v>
      </c>
      <c r="C76" s="393">
        <f t="shared" si="7"/>
        <v>0</v>
      </c>
      <c r="D76" s="393"/>
      <c r="E76" s="394"/>
      <c r="F76" s="394"/>
      <c r="G76" s="394"/>
      <c r="H76" s="394"/>
      <c r="I76" s="394"/>
      <c r="J76" s="394"/>
      <c r="K76" s="390"/>
    </row>
    <row r="77" spans="1:11" s="391" customFormat="1">
      <c r="A77" s="396" t="s">
        <v>614</v>
      </c>
      <c r="B77" s="392">
        <f>'Sources and Uses Budget'!C77</f>
        <v>565485.65853260877</v>
      </c>
      <c r="C77" s="392">
        <f>SUM(C72:C76)</f>
        <v>565485.65853260877</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2241394.5500000003</v>
      </c>
      <c r="C79" s="393">
        <f>B79</f>
        <v>2241394.5500000003</v>
      </c>
      <c r="D79" s="393"/>
      <c r="E79" s="392">
        <f>'Sources and Uses Budget'!S79</f>
        <v>2241394.5500000003</v>
      </c>
      <c r="F79" s="393">
        <f>E79</f>
        <v>2241394.5500000003</v>
      </c>
      <c r="G79" s="393"/>
      <c r="H79" s="392">
        <f>'Sources and Uses Budget'!T79</f>
        <v>0</v>
      </c>
      <c r="I79" s="393"/>
      <c r="J79" s="393"/>
      <c r="K79" s="390"/>
    </row>
    <row r="80" spans="1:11" s="391" customFormat="1">
      <c r="A80" s="395" t="s">
        <v>58</v>
      </c>
      <c r="B80" s="392">
        <f>'Sources and Uses Budget'!C80</f>
        <v>750000</v>
      </c>
      <c r="C80" s="393">
        <f>B80</f>
        <v>750000</v>
      </c>
      <c r="D80" s="393"/>
      <c r="E80" s="392">
        <f>'Sources and Uses Budget'!S80</f>
        <v>750000</v>
      </c>
      <c r="F80" s="393">
        <f>E80</f>
        <v>750000</v>
      </c>
      <c r="G80" s="393"/>
      <c r="H80" s="392">
        <f>'Sources and Uses Budget'!T80</f>
        <v>0</v>
      </c>
      <c r="I80" s="393"/>
      <c r="J80" s="393"/>
      <c r="K80" s="390"/>
    </row>
    <row r="81" spans="1:11" s="391" customFormat="1">
      <c r="A81" s="396" t="s">
        <v>1313</v>
      </c>
      <c r="B81" s="392">
        <f>'Sources and Uses Budget'!C81</f>
        <v>2991394.5500000003</v>
      </c>
      <c r="C81" s="392">
        <f>SUM(C79:C80)</f>
        <v>2991394.5500000003</v>
      </c>
      <c r="D81" s="392">
        <f>SUM(D79:D80)</f>
        <v>0</v>
      </c>
      <c r="E81" s="392">
        <f>'Sources and Uses Budget'!S81</f>
        <v>2991394.5500000003</v>
      </c>
      <c r="F81" s="392">
        <f>SUM(F79:F80)</f>
        <v>2991394.5500000003</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2400</v>
      </c>
      <c r="B83" s="392">
        <f>'Sources and Uses Budget'!C83</f>
        <v>172000</v>
      </c>
      <c r="C83" s="393">
        <f>B83</f>
        <v>172000</v>
      </c>
      <c r="D83" s="393"/>
      <c r="E83" s="394"/>
      <c r="F83" s="394"/>
      <c r="G83" s="394"/>
      <c r="H83" s="394"/>
      <c r="I83" s="394"/>
      <c r="J83" s="394"/>
      <c r="K83" s="390"/>
    </row>
    <row r="84" spans="1:11" s="391" customFormat="1">
      <c r="A84" s="145" t="s">
        <v>776</v>
      </c>
      <c r="B84" s="392">
        <f>'Sources and Uses Budget'!C84</f>
        <v>24206</v>
      </c>
      <c r="C84" s="393">
        <f t="shared" ref="C84:C95" si="8">B84</f>
        <v>24206</v>
      </c>
      <c r="D84" s="393"/>
      <c r="E84" s="392">
        <f>'Sources and Uses Budget'!S84</f>
        <v>24206</v>
      </c>
      <c r="F84" s="393">
        <f>E84</f>
        <v>24206</v>
      </c>
      <c r="G84" s="393"/>
      <c r="H84" s="392">
        <f>'Sources and Uses Budget'!T84</f>
        <v>0</v>
      </c>
      <c r="I84" s="393"/>
      <c r="J84" s="393"/>
      <c r="K84" s="390"/>
    </row>
    <row r="85" spans="1:11" s="391" customFormat="1">
      <c r="A85" s="145" t="s">
        <v>777</v>
      </c>
      <c r="B85" s="392">
        <f>'Sources and Uses Budget'!C85</f>
        <v>1418311.12</v>
      </c>
      <c r="C85" s="393">
        <f t="shared" si="8"/>
        <v>1418311.12</v>
      </c>
      <c r="D85" s="393"/>
      <c r="E85" s="392">
        <f>'Sources and Uses Budget'!S85</f>
        <v>1418311.12</v>
      </c>
      <c r="F85" s="393">
        <f>E85</f>
        <v>1418311.12</v>
      </c>
      <c r="G85" s="393"/>
      <c r="H85" s="392">
        <f>'Sources and Uses Budget'!T85</f>
        <v>0</v>
      </c>
      <c r="I85" s="393"/>
      <c r="J85" s="393"/>
      <c r="K85" s="390"/>
    </row>
    <row r="86" spans="1:11" s="391" customFormat="1">
      <c r="A86" s="145" t="s">
        <v>778</v>
      </c>
      <c r="B86" s="392">
        <f>'Sources and Uses Budget'!C86</f>
        <v>3671774.8316000002</v>
      </c>
      <c r="C86" s="393">
        <f t="shared" si="8"/>
        <v>3671774.8316000002</v>
      </c>
      <c r="D86" s="393"/>
      <c r="E86" s="392">
        <f>'Sources and Uses Budget'!S86</f>
        <v>3671774.8316000002</v>
      </c>
      <c r="F86" s="393">
        <f>E86</f>
        <v>3671774.8316000002</v>
      </c>
      <c r="G86" s="393"/>
      <c r="H86" s="392">
        <f>'Sources and Uses Budget'!T86</f>
        <v>0</v>
      </c>
      <c r="I86" s="393"/>
      <c r="J86" s="393"/>
      <c r="K86" s="390"/>
    </row>
    <row r="87" spans="1:11" s="391" customFormat="1">
      <c r="A87" s="145" t="s">
        <v>779</v>
      </c>
      <c r="B87" s="392">
        <f>'Sources and Uses Budget'!C87</f>
        <v>0</v>
      </c>
      <c r="C87" s="393">
        <f t="shared" si="8"/>
        <v>0</v>
      </c>
      <c r="D87" s="393"/>
      <c r="E87" s="392">
        <f>'Sources and Uses Budget'!S87</f>
        <v>0</v>
      </c>
      <c r="F87" s="393">
        <f>E87</f>
        <v>0</v>
      </c>
      <c r="G87" s="393"/>
      <c r="H87" s="392">
        <f>'Sources and Uses Budget'!T87</f>
        <v>0</v>
      </c>
      <c r="I87" s="393"/>
      <c r="J87" s="393"/>
      <c r="K87" s="390"/>
    </row>
    <row r="88" spans="1:11" s="391" customFormat="1">
      <c r="A88" s="145" t="s">
        <v>780</v>
      </c>
      <c r="B88" s="392">
        <f>'Sources and Uses Budget'!C88</f>
        <v>179516</v>
      </c>
      <c r="C88" s="393">
        <f t="shared" si="8"/>
        <v>179516</v>
      </c>
      <c r="D88" s="393"/>
      <c r="E88" s="394"/>
      <c r="F88" s="394"/>
      <c r="G88" s="394"/>
      <c r="H88" s="394"/>
      <c r="I88" s="394"/>
      <c r="J88" s="394"/>
      <c r="K88" s="390"/>
    </row>
    <row r="89" spans="1:11" s="391" customFormat="1">
      <c r="A89" s="145" t="s">
        <v>781</v>
      </c>
      <c r="B89" s="392">
        <f>'Sources and Uses Budget'!C89</f>
        <v>309750</v>
      </c>
      <c r="C89" s="393">
        <f t="shared" si="8"/>
        <v>309750</v>
      </c>
      <c r="D89" s="393"/>
      <c r="E89" s="392">
        <f>'Sources and Uses Budget'!S89</f>
        <v>309750</v>
      </c>
      <c r="F89" s="393">
        <f>E89</f>
        <v>309750</v>
      </c>
      <c r="G89" s="393"/>
      <c r="H89" s="392">
        <f>'Sources and Uses Budget'!T89</f>
        <v>0</v>
      </c>
      <c r="I89" s="393"/>
      <c r="J89" s="393"/>
      <c r="K89" s="390"/>
    </row>
    <row r="90" spans="1:11" s="391" customFormat="1">
      <c r="A90" s="145" t="s">
        <v>782</v>
      </c>
      <c r="B90" s="392">
        <f>'Sources and Uses Budget'!C90</f>
        <v>9050</v>
      </c>
      <c r="C90" s="393">
        <f t="shared" si="8"/>
        <v>9050</v>
      </c>
      <c r="D90" s="393"/>
      <c r="E90" s="392">
        <f>'Sources and Uses Budget'!S90</f>
        <v>9050</v>
      </c>
      <c r="F90" s="393">
        <f t="shared" ref="F90:F95" si="9">E90</f>
        <v>9050</v>
      </c>
      <c r="G90" s="393"/>
      <c r="H90" s="392">
        <f>'Sources and Uses Budget'!T90</f>
        <v>0</v>
      </c>
      <c r="I90" s="393"/>
      <c r="J90" s="393"/>
      <c r="K90" s="390"/>
    </row>
    <row r="91" spans="1:11" s="391" customFormat="1">
      <c r="A91" s="155" t="s">
        <v>372</v>
      </c>
      <c r="B91" s="392">
        <f>'Sources and Uses Budget'!C91</f>
        <v>160000</v>
      </c>
      <c r="C91" s="393">
        <f t="shared" si="8"/>
        <v>160000</v>
      </c>
      <c r="D91" s="393"/>
      <c r="E91" s="392">
        <f>'Sources and Uses Budget'!S91</f>
        <v>65000</v>
      </c>
      <c r="F91" s="393">
        <f t="shared" si="9"/>
        <v>65000</v>
      </c>
      <c r="G91" s="393"/>
      <c r="H91" s="392">
        <f>'Sources and Uses Budget'!T91</f>
        <v>0</v>
      </c>
      <c r="I91" s="393"/>
      <c r="J91" s="393"/>
      <c r="K91" s="390"/>
    </row>
    <row r="92" spans="1:11" s="391" customFormat="1">
      <c r="A92" s="542" t="s">
        <v>1315</v>
      </c>
      <c r="B92" s="392">
        <f>'Sources and Uses Budget'!C92</f>
        <v>0</v>
      </c>
      <c r="C92" s="393">
        <f t="shared" si="8"/>
        <v>0</v>
      </c>
      <c r="D92" s="393"/>
      <c r="E92" s="392">
        <f>'Sources and Uses Budget'!S92</f>
        <v>0</v>
      </c>
      <c r="F92" s="393">
        <f t="shared" si="9"/>
        <v>0</v>
      </c>
      <c r="G92" s="393"/>
      <c r="H92" s="392">
        <f>'Sources and Uses Budget'!T92</f>
        <v>0</v>
      </c>
      <c r="I92" s="393"/>
      <c r="J92" s="393"/>
      <c r="K92" s="390"/>
    </row>
    <row r="93" spans="1:11" s="391" customFormat="1">
      <c r="A93" s="395" t="str">
        <f>'Sources and Uses Budget'!$A93</f>
        <v>Other: (Misc City/County/Other Fees)</v>
      </c>
      <c r="B93" s="392">
        <f>'Sources and Uses Budget'!C93</f>
        <v>21525</v>
      </c>
      <c r="C93" s="393">
        <f t="shared" si="8"/>
        <v>21525</v>
      </c>
      <c r="D93" s="393"/>
      <c r="E93" s="392">
        <f>'Sources and Uses Budget'!S93</f>
        <v>0</v>
      </c>
      <c r="F93" s="393">
        <f t="shared" si="9"/>
        <v>0</v>
      </c>
      <c r="G93" s="393"/>
      <c r="H93" s="392">
        <f>'Sources and Uses Budget'!T93</f>
        <v>0</v>
      </c>
      <c r="I93" s="393"/>
      <c r="J93" s="393"/>
      <c r="K93" s="390"/>
    </row>
    <row r="94" spans="1:11" s="391" customFormat="1">
      <c r="A94" s="395" t="str">
        <f>'Sources and Uses Budget'!$A94</f>
        <v>Other: (Utility Connections/Deposits)</v>
      </c>
      <c r="B94" s="392">
        <f>'Sources and Uses Budget'!C94</f>
        <v>505515.255</v>
      </c>
      <c r="C94" s="393">
        <f t="shared" si="8"/>
        <v>505515.255</v>
      </c>
      <c r="D94" s="393"/>
      <c r="E94" s="392">
        <f>'Sources and Uses Budget'!S94</f>
        <v>390825.12</v>
      </c>
      <c r="F94" s="393">
        <f t="shared" si="9"/>
        <v>390825.12</v>
      </c>
      <c r="G94" s="393"/>
      <c r="H94" s="392">
        <f>'Sources and Uses Budget'!T94</f>
        <v>0</v>
      </c>
      <c r="I94" s="393"/>
      <c r="J94" s="393"/>
      <c r="K94" s="390"/>
    </row>
    <row r="95" spans="1:11" s="391" customFormat="1">
      <c r="A95" s="395">
        <f>'Sources and Uses Budget'!$A95</f>
        <v>0</v>
      </c>
      <c r="B95" s="392">
        <f>'Sources and Uses Budget'!C95</f>
        <v>0</v>
      </c>
      <c r="C95" s="393">
        <f t="shared" si="8"/>
        <v>0</v>
      </c>
      <c r="D95" s="393"/>
      <c r="E95" s="392">
        <f>'Sources and Uses Budget'!S95</f>
        <v>0</v>
      </c>
      <c r="F95" s="393">
        <f t="shared" si="9"/>
        <v>0</v>
      </c>
      <c r="G95" s="393"/>
      <c r="H95" s="392">
        <f>'Sources and Uses Budget'!T95</f>
        <v>0</v>
      </c>
      <c r="I95" s="393"/>
      <c r="J95" s="393"/>
      <c r="K95" s="390"/>
    </row>
    <row r="96" spans="1:11" s="391" customFormat="1">
      <c r="A96" s="396" t="s">
        <v>783</v>
      </c>
      <c r="B96" s="392">
        <f>'Sources and Uses Budget'!C96</f>
        <v>6471648.2066000002</v>
      </c>
      <c r="C96" s="392">
        <f>SUM(C83:C95)</f>
        <v>6471648.2066000002</v>
      </c>
      <c r="D96" s="392">
        <f>SUM(D83:D95)</f>
        <v>0</v>
      </c>
      <c r="E96" s="392">
        <f>'Sources and Uses Budget'!S96</f>
        <v>5888917.0716000004</v>
      </c>
      <c r="F96" s="398">
        <f>SUM(F84:F87,F89:F95)</f>
        <v>5888917.0716000004</v>
      </c>
      <c r="G96" s="398">
        <f>SUM(G84:G87,G89:G95)</f>
        <v>0</v>
      </c>
      <c r="H96" s="392">
        <f>'Sources and Uses Budget'!T96</f>
        <v>0</v>
      </c>
      <c r="I96" s="392">
        <f>SUM(I84:I87,I89:I95)</f>
        <v>0</v>
      </c>
      <c r="J96" s="392">
        <f>SUM(J84:J87,J89:J95)</f>
        <v>0</v>
      </c>
      <c r="K96" s="390"/>
    </row>
    <row r="97" spans="1:11" s="391" customFormat="1">
      <c r="A97" s="396" t="s">
        <v>1051</v>
      </c>
      <c r="B97" s="392">
        <f>'Sources and Uses Budget'!C97</f>
        <v>69437783.361965939</v>
      </c>
      <c r="C97" s="392">
        <f>SUM(C63+C70+C77+C81+C96)</f>
        <v>69437783.361965939</v>
      </c>
      <c r="D97" s="392">
        <f>SUM(D63+D70+D77+D81+D96)</f>
        <v>0</v>
      </c>
      <c r="E97" s="392">
        <f>'Sources and Uses Budget'!S97</f>
        <v>62045406.704933323</v>
      </c>
      <c r="F97" s="398">
        <f>SUM(+F63+F70+F81+F96)</f>
        <v>62045406.704933323</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9306811.0057399999</v>
      </c>
      <c r="C99" s="393">
        <f>B99</f>
        <v>9306811.0057399999</v>
      </c>
      <c r="D99" s="393"/>
      <c r="E99" s="392">
        <f>'Sources and Uses Budget'!S99</f>
        <v>9306811.0057399999</v>
      </c>
      <c r="F99" s="393">
        <f>E99</f>
        <v>9306811.0057399999</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9306811.0057399999</v>
      </c>
      <c r="C104" s="392">
        <f>SUM(C99:C103)</f>
        <v>9306811.0057399999</v>
      </c>
      <c r="D104" s="392">
        <f>SUM(D99:D103)</f>
        <v>0</v>
      </c>
      <c r="E104" s="392">
        <f>'Sources and Uses Budget'!S104</f>
        <v>9306811.0057399999</v>
      </c>
      <c r="F104" s="398">
        <f>SUM(F99:F103)</f>
        <v>9306811.0057399999</v>
      </c>
      <c r="G104" s="398">
        <f>SUM(G99:G103)</f>
        <v>0</v>
      </c>
      <c r="H104" s="392">
        <f>'Sources and Uses Budget'!T104</f>
        <v>0</v>
      </c>
      <c r="I104" s="398">
        <f>SUM(I99:I103)</f>
        <v>0</v>
      </c>
      <c r="J104" s="398">
        <f>SUM(J99:J103)</f>
        <v>0</v>
      </c>
      <c r="K104" s="390"/>
    </row>
    <row r="105" spans="1:11" s="391" customFormat="1">
      <c r="A105" s="396" t="s">
        <v>1052</v>
      </c>
      <c r="B105" s="392">
        <f>'Sources and Uses Budget'!C105</f>
        <v>78744594.367705941</v>
      </c>
      <c r="C105" s="398">
        <f>SUM(C97+C104)</f>
        <v>78744594.367705941</v>
      </c>
      <c r="D105" s="398">
        <f>SUM(D97+D104)</f>
        <v>0</v>
      </c>
      <c r="E105" s="392">
        <f>'Sources and Uses Budget'!S105</f>
        <v>71352217.710673317</v>
      </c>
      <c r="F105" s="398">
        <f>F97+F104</f>
        <v>71352217.710673317</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71352217.710673317</v>
      </c>
      <c r="F107" s="398">
        <f>F105+F106</f>
        <v>71352217.710673317</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44" zoomScale="115" zoomScaleNormal="115" workbookViewId="0">
      <selection activeCell="C159" sqref="C159:AI15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1409</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1414</v>
      </c>
      <c r="AF7" s="1927"/>
      <c r="AG7" s="1927"/>
      <c r="AH7" s="1927"/>
      <c r="AI7" s="1927"/>
      <c r="AJ7" s="1927"/>
      <c r="AK7" s="1927"/>
      <c r="AL7" s="574"/>
      <c r="AM7" s="574"/>
      <c r="AN7" s="569"/>
    </row>
    <row r="8" spans="1:42" s="570" customFormat="1" ht="12.75" customHeight="1">
      <c r="A8" s="572"/>
      <c r="B8" s="573" t="s">
        <v>1913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2" t="s">
        <v>2307</v>
      </c>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599</v>
      </c>
      <c r="C13" s="2109"/>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599</v>
      </c>
      <c r="C16" s="2109"/>
      <c r="D16" s="581"/>
      <c r="E16" s="2101" t="s">
        <v>1416</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1417</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599</v>
      </c>
      <c r="C22" s="2109"/>
      <c r="D22" s="581"/>
      <c r="E22" s="2119" t="s">
        <v>1419</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1417</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599</v>
      </c>
      <c r="C25" s="2109"/>
      <c r="D25" s="581"/>
      <c r="E25" s="2037" t="s">
        <v>2337</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1417</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2308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9" t="s">
        <v>599</v>
      </c>
      <c r="C30" s="2109"/>
      <c r="D30" s="581"/>
      <c r="E30" s="2119" t="s">
        <v>2309</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599</v>
      </c>
      <c r="C33" s="2109"/>
      <c r="D33" s="581"/>
      <c r="E33" s="2037" t="s">
        <v>2310</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c r="AL38" s="574"/>
      <c r="AM38" s="574"/>
      <c r="AN38" s="569"/>
    </row>
    <row r="39" spans="1:41" s="570" customFormat="1" ht="12.75" customHeight="1">
      <c r="A39" s="574"/>
      <c r="B39" s="2109" t="s">
        <v>599</v>
      </c>
      <c r="C39" s="2109"/>
      <c r="D39" s="1183"/>
      <c r="E39" s="2037" t="s">
        <v>2311</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3"/>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2314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2" t="s">
        <v>2315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599</v>
      </c>
      <c r="C46" s="2109"/>
      <c r="D46" s="574"/>
      <c r="E46" s="2037" t="s">
        <v>2316</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599</v>
      </c>
      <c r="C50" s="2109"/>
      <c r="D50" s="574"/>
      <c r="E50" s="2135" t="s">
        <v>2317</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599</v>
      </c>
      <c r="C52" s="2109"/>
      <c r="D52" s="574"/>
      <c r="E52" s="2037" t="s">
        <v>2318</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1423</v>
      </c>
      <c r="AF59" s="1927"/>
      <c r="AG59" s="1927"/>
      <c r="AH59" s="1927"/>
      <c r="AI59" s="1927"/>
      <c r="AJ59" s="1927"/>
      <c r="AK59" s="1927"/>
      <c r="AL59" s="574"/>
      <c r="AM59" s="574"/>
      <c r="AN59" s="569"/>
    </row>
    <row r="60" spans="1:50" s="570" customFormat="1" ht="12.75" customHeight="1">
      <c r="A60" s="572"/>
      <c r="B60" s="573" t="s">
        <v>1912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599</v>
      </c>
      <c r="C62" s="2109"/>
      <c r="D62" s="581" t="s">
        <v>1424</v>
      </c>
      <c r="E62" s="2101" t="s">
        <v>2319</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1425</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553</v>
      </c>
      <c r="C68" s="2109"/>
      <c r="D68" s="581" t="s">
        <v>1426</v>
      </c>
      <c r="E68" s="1003" t="s">
        <v>1908</v>
      </c>
      <c r="F68" s="1004"/>
      <c r="G68" s="1004"/>
      <c r="H68" s="1004"/>
      <c r="I68" s="1004"/>
      <c r="J68" s="1004"/>
      <c r="K68" s="1004"/>
      <c r="L68" s="1004"/>
      <c r="M68" s="1004"/>
      <c r="N68" s="1004"/>
      <c r="O68" s="1004"/>
      <c r="P68" s="1004"/>
      <c r="Q68" s="1004"/>
      <c r="R68" s="1004"/>
      <c r="S68" s="1004"/>
      <c r="T68" s="1004"/>
      <c r="U68" s="1004"/>
      <c r="V68" s="1004"/>
      <c r="W68" s="1004"/>
      <c r="X68" s="1004"/>
      <c r="Y68" s="1004"/>
      <c r="Z68" s="1004"/>
      <c r="AA68" s="1004"/>
      <c r="AB68" s="1004"/>
      <c r="AC68" s="1004"/>
      <c r="AD68" s="1004"/>
      <c r="AE68" s="1004"/>
      <c r="AF68" s="1004"/>
      <c r="AG68" s="1004"/>
      <c r="AH68" s="1004"/>
      <c r="AI68" s="1004"/>
      <c r="AJ68" s="1005"/>
      <c r="AK68" s="577"/>
      <c r="AL68" s="574"/>
      <c r="AM68" s="574"/>
      <c r="AN68" s="569"/>
    </row>
    <row r="69" spans="1:42" s="570" customFormat="1" ht="12.75" customHeight="1">
      <c r="A69" s="572"/>
      <c r="B69" s="574"/>
      <c r="C69" s="574"/>
      <c r="D69" s="584"/>
      <c r="E69" s="2134" t="s">
        <v>553</v>
      </c>
      <c r="F69" s="2109"/>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6"/>
      <c r="AK69" s="577"/>
      <c r="AL69" s="574"/>
      <c r="AM69" s="574"/>
      <c r="AN69" s="569"/>
    </row>
    <row r="70" spans="1:42" s="570" customFormat="1" ht="12.75" customHeight="1">
      <c r="A70" s="572"/>
      <c r="B70" s="574"/>
      <c r="C70" s="574"/>
      <c r="D70" s="584"/>
      <c r="E70" s="2129" t="s">
        <v>599</v>
      </c>
      <c r="F70" s="2130"/>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6"/>
      <c r="AK70" s="577"/>
      <c r="AL70" s="574"/>
      <c r="AM70" s="574"/>
      <c r="AN70" s="569"/>
    </row>
    <row r="71" spans="1:42" s="570" customFormat="1" ht="12.75" customHeight="1">
      <c r="A71" s="572"/>
      <c r="B71" s="574"/>
      <c r="C71" s="574"/>
      <c r="D71" s="584"/>
      <c r="E71" s="2129" t="s">
        <v>599</v>
      </c>
      <c r="F71" s="2130"/>
      <c r="G71" s="609"/>
      <c r="H71" s="592" t="s">
        <v>1923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6"/>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6"/>
      <c r="AK72" s="577"/>
      <c r="AL72" s="574"/>
      <c r="AM72" s="574"/>
      <c r="AN72" s="569"/>
    </row>
    <row r="73" spans="1:42" s="570" customFormat="1" ht="12.75" customHeight="1">
      <c r="A73" s="572"/>
      <c r="B73" s="574"/>
      <c r="C73" s="574"/>
      <c r="D73" s="584"/>
      <c r="E73" s="2134" t="s">
        <v>599</v>
      </c>
      <c r="F73" s="2109"/>
      <c r="G73" s="941"/>
      <c r="H73" s="1008" t="s">
        <v>1922</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599</v>
      </c>
      <c r="C75" s="2109"/>
      <c r="D75" s="581" t="s">
        <v>1429</v>
      </c>
      <c r="E75" s="2037" t="s">
        <v>1924</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1414</v>
      </c>
      <c r="AF81" s="1927"/>
      <c r="AG81" s="1927"/>
      <c r="AH81" s="1927"/>
      <c r="AI81" s="1927"/>
      <c r="AJ81" s="1927"/>
      <c r="AK81" s="1927"/>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553</v>
      </c>
      <c r="C84" s="2109"/>
      <c r="D84" s="581" t="s">
        <v>1424</v>
      </c>
      <c r="E84" s="2101" t="s">
        <v>1434</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0.52658227848101258</v>
      </c>
      <c r="F87" s="2098"/>
      <c r="G87" s="2098"/>
      <c r="H87" s="2098"/>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6.9999999999999951E-2</v>
      </c>
      <c r="F88" s="1901"/>
      <c r="G88" s="1901"/>
      <c r="H88" s="1901"/>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13.999999999999989</v>
      </c>
      <c r="F89" s="2114"/>
      <c r="G89" s="2114"/>
      <c r="H89" s="2114"/>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13.999999999999989</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553</v>
      </c>
      <c r="C92" s="2109"/>
      <c r="D92" s="581" t="s">
        <v>1426</v>
      </c>
      <c r="E92" s="2101" t="s">
        <v>1909</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0.52658227848101258</v>
      </c>
      <c r="F97" s="2098"/>
      <c r="G97" s="2098"/>
      <c r="H97" s="2098"/>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0.25316455696202533</v>
      </c>
      <c r="F98" s="2098"/>
      <c r="G98" s="2098"/>
      <c r="H98" s="2098"/>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7.5949367088607597E-2</v>
      </c>
      <c r="F99" s="2098"/>
      <c r="G99" s="2098"/>
      <c r="H99" s="2098"/>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1423</v>
      </c>
      <c r="AF106" s="1927"/>
      <c r="AG106" s="1927"/>
      <c r="AH106" s="1927"/>
      <c r="AI106" s="1927"/>
      <c r="AJ106" s="1927"/>
      <c r="AK106" s="1927"/>
      <c r="AL106" s="574"/>
      <c r="AM106" s="574"/>
      <c r="AN106" s="569"/>
      <c r="AO106" s="570" t="str">
        <f>Application!B718</f>
        <v>1 Bedroom</v>
      </c>
      <c r="AQ106" s="570">
        <f>Application!O718</f>
        <v>631</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1104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1341</v>
      </c>
    </row>
    <row r="109" spans="1:49" s="570" customFormat="1" ht="12.75" customHeight="1">
      <c r="A109" s="574"/>
      <c r="B109" s="2109" t="s">
        <v>553</v>
      </c>
      <c r="C109" s="2109"/>
      <c r="D109" s="581" t="s">
        <v>1424</v>
      </c>
      <c r="E109" s="2101" t="s">
        <v>2043</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1577</v>
      </c>
      <c r="AU109" s="570" t="s">
        <v>2025</v>
      </c>
      <c r="AV109" s="629" t="s">
        <v>2026</v>
      </c>
      <c r="AW109" s="570" t="s">
        <v>2027</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753</v>
      </c>
      <c r="AU110" s="890" t="str">
        <f>E118</f>
        <v>Studio/SRO</v>
      </c>
      <c r="AV110" s="570">
        <f t="array" ref="AV110">SUM(IF(Application!B718:F752="SRO/Studio",Application!G718:J752))</f>
        <v>0</v>
      </c>
      <c r="AW110" s="1043">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1320</v>
      </c>
      <c r="AU111" s="890" t="str">
        <f>J118</f>
        <v>1-bedroom</v>
      </c>
      <c r="AV111" s="570">
        <f t="array" ref="AV111">SUM(IF(Application!B718:F752="1 Bedroom",Application!G718:J752))</f>
        <v>76</v>
      </c>
      <c r="AW111" s="1043">
        <f>AV111/AV116</f>
        <v>0.48101265822784811</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2 Bedrooms</v>
      </c>
      <c r="AQ112" s="570">
        <f>Application!O724</f>
        <v>1604</v>
      </c>
      <c r="AU112" s="890" t="str">
        <f>O118</f>
        <v>2-bedroom</v>
      </c>
      <c r="AV112" s="570">
        <f t="array" ref="AV112">SUM(IF(Application!B718:F752="2 Bedrooms",Application!G718:J752))</f>
        <v>42</v>
      </c>
      <c r="AW112" s="1043">
        <f>AV112/AV116</f>
        <v>0.26582278481012656</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2 Bedrooms</v>
      </c>
      <c r="AQ113" s="570">
        <f>Application!O725</f>
        <v>1888</v>
      </c>
      <c r="AU113" s="890" t="str">
        <f>T118</f>
        <v>3-bedroom</v>
      </c>
      <c r="AV113" s="570">
        <f t="array" ref="AV113">SUM(IF(Application!B718:F752="3 Bedrooms",Application!G718:J752))</f>
        <v>40</v>
      </c>
      <c r="AW113" s="1043">
        <f>AV113/AV116</f>
        <v>0.25316455696202533</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3 Bedrooms</v>
      </c>
      <c r="AQ114" s="570">
        <f>Application!O726</f>
        <v>862</v>
      </c>
      <c r="AU114" s="890" t="str">
        <f>Y118</f>
        <v>4-bedroom</v>
      </c>
      <c r="AV114" s="570">
        <f t="array" ref="AV114">SUM(IF(Application!B718:F752="4 Bedrooms",Application!G718:J752))</f>
        <v>0</v>
      </c>
      <c r="AW114" s="1043">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t="str">
        <f>Application!B727</f>
        <v>3 Bedrooms</v>
      </c>
      <c r="AQ115" s="570">
        <f>Application!O727</f>
        <v>1518</v>
      </c>
      <c r="AU115" s="890" t="str">
        <f>AD118</f>
        <v>5-bedroom</v>
      </c>
      <c r="AV115" s="570">
        <f t="array" ref="AV115">SUM(IF(Application!B718:F752="5 Bedrooms",Application!G718:J752))</f>
        <v>0</v>
      </c>
      <c r="AW115" s="1043">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t="str">
        <f>Application!B728</f>
        <v>3 Bedrooms</v>
      </c>
      <c r="AQ116" s="570">
        <f>Application!O728</f>
        <v>1846</v>
      </c>
      <c r="AV116" s="570">
        <f>SUM(AV110:AV115)</f>
        <v>158</v>
      </c>
      <c r="AW116" s="1043">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2174</v>
      </c>
    </row>
    <row r="118" spans="1:52" s="570" customFormat="1" ht="12.75" customHeight="1">
      <c r="A118" s="574"/>
      <c r="B118" s="573"/>
      <c r="C118" s="574"/>
      <c r="D118" s="574"/>
      <c r="E118" s="2097" t="s">
        <v>1698</v>
      </c>
      <c r="F118" s="2098"/>
      <c r="G118" s="2098"/>
      <c r="H118" s="2098"/>
      <c r="I118" s="611"/>
      <c r="J118" s="2098" t="s">
        <v>1742</v>
      </c>
      <c r="K118" s="2098"/>
      <c r="L118" s="2098"/>
      <c r="M118" s="2098"/>
      <c r="N118" s="611"/>
      <c r="O118" s="2098" t="s">
        <v>1743</v>
      </c>
      <c r="P118" s="2098"/>
      <c r="Q118" s="2098"/>
      <c r="R118" s="2098"/>
      <c r="S118" s="611"/>
      <c r="T118" s="2098" t="s">
        <v>1443</v>
      </c>
      <c r="U118" s="2098"/>
      <c r="V118" s="2098"/>
      <c r="W118" s="2098"/>
      <c r="X118" s="611"/>
      <c r="Y118" s="2098" t="s">
        <v>1744</v>
      </c>
      <c r="Z118" s="2098"/>
      <c r="AA118" s="2098"/>
      <c r="AB118" s="2098"/>
      <c r="AC118" s="611"/>
      <c r="AD118" s="2098" t="s">
        <v>1745</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1959</v>
      </c>
      <c r="K121" s="2100"/>
      <c r="L121" s="2100"/>
      <c r="M121" s="2100"/>
      <c r="N121" s="898"/>
      <c r="O121" s="2100">
        <v>2425</v>
      </c>
      <c r="P121" s="2100"/>
      <c r="Q121" s="2100"/>
      <c r="R121" s="2100"/>
      <c r="S121" s="898"/>
      <c r="T121" s="2100">
        <v>3052</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1"/>
      <c r="AV122" s="1041"/>
      <c r="AW122" s="1041"/>
      <c r="AX122" s="1041"/>
      <c r="AY122" s="1041"/>
      <c r="AZ122" s="1041"/>
    </row>
    <row r="123" spans="1:52" s="570" customFormat="1" ht="12.75" customHeight="1">
      <c r="A123" s="574"/>
      <c r="B123" s="573"/>
      <c r="C123" s="574"/>
      <c r="D123" s="574"/>
      <c r="E123" s="900" t="s">
        <v>2029</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1"/>
      <c r="AV123" s="1041"/>
      <c r="AW123" s="1041"/>
      <c r="AX123" s="1041"/>
      <c r="AY123" s="1041"/>
      <c r="AZ123" s="1041"/>
    </row>
    <row r="124" spans="1:52" s="570" customFormat="1" ht="12.75" customHeight="1">
      <c r="A124" s="574"/>
      <c r="B124" s="573"/>
      <c r="C124" s="574"/>
      <c r="D124" s="574"/>
      <c r="E124" s="2107">
        <f>Application!DX670</f>
        <v>0</v>
      </c>
      <c r="F124" s="2108"/>
      <c r="G124" s="2108"/>
      <c r="H124" s="2108"/>
      <c r="I124" s="898"/>
      <c r="J124" s="2108">
        <f>Application!EC670</f>
        <v>1160.2894736842106</v>
      </c>
      <c r="K124" s="2108"/>
      <c r="L124" s="2108"/>
      <c r="M124" s="2108"/>
      <c r="N124" s="898"/>
      <c r="O124" s="2108">
        <f>Application!EH670</f>
        <v>1408.1428571428571</v>
      </c>
      <c r="P124" s="2108"/>
      <c r="Q124" s="2108"/>
      <c r="R124" s="2108"/>
      <c r="S124" s="902"/>
      <c r="T124" s="2108">
        <f>Application!EM670</f>
        <v>1608.1999999999998</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1"/>
      <c r="AV124" s="1041"/>
      <c r="AW124" s="1042"/>
      <c r="AX124" s="1042"/>
      <c r="AY124" s="1041"/>
      <c r="AZ124" s="1041"/>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1"/>
      <c r="AV125" s="1041"/>
      <c r="AW125" s="1042"/>
      <c r="AX125" s="1042"/>
      <c r="AY125" s="1041"/>
      <c r="AZ125" s="1041"/>
    </row>
    <row r="126" spans="1:52" s="570" customFormat="1" ht="12.75" customHeight="1">
      <c r="A126" s="574"/>
      <c r="B126" s="573"/>
      <c r="C126" s="574"/>
      <c r="D126" s="574"/>
      <c r="E126" s="900" t="s">
        <v>2030</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1"/>
      <c r="AV126" s="1041"/>
      <c r="AW126" s="1042"/>
      <c r="AX126" s="1042"/>
      <c r="AY126" s="1041"/>
      <c r="AZ126" s="1041"/>
    </row>
    <row r="127" spans="1:52" s="570" customFormat="1" ht="12.75" customHeight="1">
      <c r="A127" s="574"/>
      <c r="B127" s="573"/>
      <c r="C127" s="574"/>
      <c r="D127" s="574"/>
      <c r="E127" s="1900" t="e">
        <f>(E121-E124)/E121</f>
        <v>#DIV/0!</v>
      </c>
      <c r="F127" s="1901"/>
      <c r="G127" s="1901"/>
      <c r="H127" s="1902"/>
      <c r="I127" s="611"/>
      <c r="J127" s="1900">
        <f>(J121-J124)/J121</f>
        <v>0.40771338760377202</v>
      </c>
      <c r="K127" s="1901"/>
      <c r="L127" s="1901"/>
      <c r="M127" s="1902"/>
      <c r="N127" s="611"/>
      <c r="O127" s="1900">
        <f>(O121-O124)/O121</f>
        <v>0.41932253313696616</v>
      </c>
      <c r="P127" s="1901"/>
      <c r="Q127" s="1901"/>
      <c r="R127" s="1902"/>
      <c r="S127" s="611"/>
      <c r="T127" s="1900">
        <f>(T121-T124)/T121</f>
        <v>0.47306684141546534</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1"/>
      <c r="AV127" s="1041"/>
      <c r="AW127" s="1042"/>
      <c r="AX127" s="1042"/>
      <c r="AY127" s="1041"/>
      <c r="AZ127" s="1041"/>
    </row>
    <row r="128" spans="1:52" s="570" customFormat="1" ht="12.75" customHeight="1">
      <c r="A128" s="574"/>
      <c r="B128" s="573"/>
      <c r="C128" s="574"/>
      <c r="D128" s="574"/>
      <c r="E128" s="1036"/>
      <c r="F128" s="1035"/>
      <c r="G128" s="1035"/>
      <c r="H128" s="1035"/>
      <c r="I128" s="611"/>
      <c r="J128" s="1035"/>
      <c r="K128" s="1035"/>
      <c r="L128" s="1035"/>
      <c r="M128" s="1035"/>
      <c r="N128" s="611"/>
      <c r="O128" s="1035"/>
      <c r="P128" s="1035"/>
      <c r="Q128" s="1035"/>
      <c r="R128" s="1035"/>
      <c r="S128" s="611"/>
      <c r="T128" s="1035"/>
      <c r="U128" s="1035"/>
      <c r="V128" s="1035"/>
      <c r="W128" s="1035"/>
      <c r="X128" s="611"/>
      <c r="Y128" s="1035"/>
      <c r="Z128" s="1035"/>
      <c r="AA128" s="1035"/>
      <c r="AB128" s="1035"/>
      <c r="AC128" s="611"/>
      <c r="AD128" s="1035"/>
      <c r="AE128" s="1035"/>
      <c r="AF128" s="1035"/>
      <c r="AG128" s="1035"/>
      <c r="AH128" s="611"/>
      <c r="AI128" s="611"/>
      <c r="AJ128" s="613"/>
      <c r="AK128" s="574"/>
      <c r="AL128" s="574"/>
      <c r="AM128" s="574"/>
      <c r="AN128" s="569"/>
      <c r="AO128" s="570">
        <f>Application!B740</f>
        <v>0</v>
      </c>
      <c r="AQ128" s="570">
        <f>Application!O740</f>
        <v>0</v>
      </c>
      <c r="AU128" s="1041"/>
      <c r="AV128" s="1041"/>
      <c r="AW128" s="1042"/>
      <c r="AX128" s="1042"/>
      <c r="AY128" s="1041"/>
      <c r="AZ128" s="1041"/>
    </row>
    <row r="129" spans="1:52" s="570" customFormat="1" ht="12.75" customHeight="1">
      <c r="A129" s="574"/>
      <c r="B129" s="573"/>
      <c r="C129" s="574"/>
      <c r="D129" s="574"/>
      <c r="E129" s="1037" t="s">
        <v>2031</v>
      </c>
      <c r="F129" s="1035"/>
      <c r="G129" s="1035"/>
      <c r="H129" s="1035"/>
      <c r="I129" s="611"/>
      <c r="J129" s="1035"/>
      <c r="K129" s="1035"/>
      <c r="L129" s="1035"/>
      <c r="M129" s="1035"/>
      <c r="N129" s="611"/>
      <c r="O129" s="1035"/>
      <c r="P129" s="1035"/>
      <c r="Q129" s="1035"/>
      <c r="R129" s="1035"/>
      <c r="S129" s="611"/>
      <c r="T129" s="1035"/>
      <c r="U129" s="1035"/>
      <c r="V129" s="1035"/>
      <c r="W129" s="1035"/>
      <c r="X129" s="611"/>
      <c r="Y129" s="1035"/>
      <c r="Z129" s="1035"/>
      <c r="AA129" s="1035"/>
      <c r="AB129" s="1035"/>
      <c r="AC129" s="611"/>
      <c r="AD129" s="1035"/>
      <c r="AE129" s="1035"/>
      <c r="AF129" s="1035"/>
      <c r="AG129" s="1035"/>
      <c r="AH129" s="611"/>
      <c r="AI129" s="611"/>
      <c r="AJ129" s="613"/>
      <c r="AK129" s="574"/>
      <c r="AL129" s="574"/>
      <c r="AM129" s="574"/>
      <c r="AN129" s="569"/>
      <c r="AO129" s="570">
        <f>Application!B741</f>
        <v>0</v>
      </c>
      <c r="AQ129" s="570">
        <f>Application!O741</f>
        <v>0</v>
      </c>
      <c r="AU129" s="1042"/>
      <c r="AV129" s="1041"/>
      <c r="AW129" s="1042"/>
      <c r="AX129" s="1042"/>
      <c r="AY129" s="1041"/>
      <c r="AZ129" s="1041"/>
    </row>
    <row r="130" spans="1:52" s="570" customFormat="1" ht="12.75" customHeight="1">
      <c r="A130" s="574"/>
      <c r="B130" s="573"/>
      <c r="C130" s="574"/>
      <c r="D130" s="574"/>
      <c r="E130" s="2110" t="e">
        <f>IF(((E127-0.1)*AW110)&gt;0,((E127-0.1)*AW110),0)</f>
        <v>#DIV/0!</v>
      </c>
      <c r="F130" s="2111"/>
      <c r="G130" s="2111"/>
      <c r="H130" s="2112"/>
      <c r="I130" s="611"/>
      <c r="J130" s="2110">
        <f>IF(((J127-0.1)*AW111)&gt;0,((J127-0.1)*AW111),0)</f>
        <v>0.14801403454358653</v>
      </c>
      <c r="K130" s="2111"/>
      <c r="L130" s="2111"/>
      <c r="M130" s="2112"/>
      <c r="N130" s="611"/>
      <c r="O130" s="2110">
        <f>IF(((O127-0.1)*AW112)&gt;0,((O127-0.1)*AW112),0)</f>
        <v>8.4883205011092255E-2</v>
      </c>
      <c r="P130" s="2111"/>
      <c r="Q130" s="2111"/>
      <c r="R130" s="2112"/>
      <c r="S130" s="611"/>
      <c r="T130" s="2110">
        <f>IF(((T127-0.1)*AW113)&gt;0,((T127-0.1)*AW113),0)</f>
        <v>9.4447301624168437E-2</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1"/>
      <c r="AV130" s="1041"/>
      <c r="AW130" s="1041"/>
      <c r="AX130" s="1042"/>
      <c r="AY130" s="1041"/>
      <c r="AZ130" s="1041"/>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1"/>
      <c r="AV131" s="1041"/>
      <c r="AW131" s="1041"/>
      <c r="AX131" s="1041"/>
      <c r="AY131" s="1041"/>
      <c r="AZ131" s="1041"/>
    </row>
    <row r="132" spans="1:52" s="570" customFormat="1" ht="12.75" customHeight="1">
      <c r="A132" s="574"/>
      <c r="B132" s="573"/>
      <c r="C132" s="574"/>
      <c r="D132" s="574"/>
      <c r="E132" s="1900">
        <f>ROUNDDOWN(SUMIF(E130:AG130,"&gt;0"),2)</f>
        <v>0.32</v>
      </c>
      <c r="F132" s="1901"/>
      <c r="G132" s="1901"/>
      <c r="H132" s="1902"/>
      <c r="I132" s="611"/>
      <c r="J132" s="614" t="s">
        <v>2032</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1"/>
      <c r="AV132" s="1041"/>
      <c r="AW132" s="1041"/>
      <c r="AX132" s="1042"/>
      <c r="AY132" s="1041"/>
      <c r="AZ132" s="1041"/>
    </row>
    <row r="133" spans="1:52" s="570" customFormat="1" ht="12.75" customHeight="1">
      <c r="A133" s="574"/>
      <c r="B133" s="573"/>
      <c r="C133" s="574"/>
      <c r="D133" s="574"/>
      <c r="E133" s="2083">
        <f>IF((E132*100)&gt;10,10,E132*100)</f>
        <v>10</v>
      </c>
      <c r="F133" s="2084"/>
      <c r="G133" s="2084"/>
      <c r="H133" s="2085"/>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1"/>
      <c r="AV133" s="1041"/>
      <c r="AW133" s="1041"/>
      <c r="AX133" s="1041"/>
      <c r="AY133" s="1041"/>
      <c r="AZ133" s="1041"/>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4"/>
      <c r="AU134" s="1041"/>
      <c r="AV134" s="1041"/>
      <c r="AW134" s="1042"/>
      <c r="AX134" s="1041"/>
      <c r="AY134" s="1041"/>
      <c r="AZ134" s="1041"/>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1"/>
      <c r="AV135" s="1041"/>
      <c r="AW135" s="1041"/>
      <c r="AX135" s="1041"/>
      <c r="AY135" s="1041"/>
      <c r="AZ135" s="1041"/>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7" t="s">
        <v>1423</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1447</v>
      </c>
      <c r="AG142" s="1994"/>
      <c r="AH142" s="1994"/>
      <c r="AI142" s="1994"/>
      <c r="AJ142" s="1994"/>
      <c r="AK142" s="1994"/>
      <c r="AL142" s="199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2764</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9" t="s">
        <v>1450</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2320</v>
      </c>
      <c r="AP148" s="523">
        <v>7</v>
      </c>
    </row>
    <row r="149" spans="1:42" s="570" customFormat="1" ht="12.75" customHeight="1">
      <c r="A149" s="572"/>
      <c r="B149" s="573" t="s">
        <v>1451</v>
      </c>
      <c r="AB149" s="2030" t="s">
        <v>599</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9" t="s">
        <v>1452</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1461</v>
      </c>
      <c r="AG157" s="1994"/>
      <c r="AH157" s="1994"/>
      <c r="AI157" s="1994"/>
      <c r="AJ157" s="1994"/>
      <c r="AK157" s="1994"/>
      <c r="AL157" s="1994"/>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1459</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599</v>
      </c>
      <c r="AG161" s="2030"/>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2522</v>
      </c>
      <c r="AP162" s="633">
        <v>3</v>
      </c>
    </row>
    <row r="163" spans="1:73" s="584" customFormat="1" ht="12.75" customHeight="1">
      <c r="A163" s="570"/>
      <c r="B163" s="570"/>
      <c r="C163" s="2089" t="s">
        <v>1452</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8" t="s">
        <v>2775</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1423</v>
      </c>
      <c r="AF175" s="1927"/>
      <c r="AG175" s="1927"/>
      <c r="AH175" s="1927"/>
      <c r="AI175" s="1927"/>
      <c r="AJ175" s="1927"/>
      <c r="AK175" s="1927"/>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6" t="s">
        <v>1063</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1472</v>
      </c>
      <c r="AG177" s="1994"/>
      <c r="AH177" s="1994"/>
      <c r="AI177" s="1994"/>
      <c r="AJ177" s="1994"/>
      <c r="AK177" s="1994"/>
      <c r="AL177" s="1994"/>
      <c r="AN177" s="631"/>
      <c r="AP177" s="584" t="s">
        <v>1065</v>
      </c>
      <c r="AQ177" s="584">
        <v>10</v>
      </c>
    </row>
    <row r="178" spans="1:45" s="584" customFormat="1" ht="12.75" customHeight="1">
      <c r="A178" s="570"/>
      <c r="B178" s="2087" t="s">
        <v>1910</v>
      </c>
      <c r="C178" s="2087"/>
      <c r="D178" s="2087"/>
      <c r="E178" s="2087"/>
      <c r="F178" s="2087"/>
      <c r="G178" s="2087"/>
      <c r="H178" s="2087"/>
      <c r="I178" s="2087"/>
      <c r="J178" s="2087"/>
      <c r="K178" s="2087"/>
      <c r="L178" s="2087"/>
      <c r="M178" s="2087"/>
      <c r="N178" s="2087"/>
      <c r="O178" s="2087"/>
      <c r="P178" s="2087"/>
      <c r="Q178" s="2087"/>
      <c r="R178" s="2087"/>
      <c r="S178" s="2087"/>
      <c r="T178" s="2088" t="s">
        <v>599</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1">
        <f>IF(AK78&gt;0,VLOOKUP($B$177,AP174:AQ180,2,FALSE),0)</f>
        <v>10</v>
      </c>
      <c r="AL180" s="1922"/>
      <c r="AM180" s="1923"/>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1481</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2739</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f>Application!AO628</f>
        <v>4000000</v>
      </c>
      <c r="AE188" s="2070"/>
      <c r="AF188" s="2070"/>
      <c r="AG188" s="2070"/>
      <c r="AH188" s="2070"/>
      <c r="AI188" s="2070"/>
      <c r="AJ188" s="2070"/>
      <c r="AK188" s="644"/>
    </row>
    <row r="189" spans="1:45">
      <c r="A189" s="639"/>
      <c r="B189" s="2080" t="s">
        <v>2740</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f>Application!AM555</f>
        <v>8000000</v>
      </c>
      <c r="AE189" s="2070"/>
      <c r="AF189" s="2070"/>
      <c r="AG189" s="2070"/>
      <c r="AH189" s="2070"/>
      <c r="AI189" s="2070"/>
      <c r="AJ189" s="2070"/>
      <c r="AK189" s="644"/>
    </row>
    <row r="190" spans="1:45">
      <c r="A190" s="639"/>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1737</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1700</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74">
        <f>SUM(AD188:AJ198)-AD199</f>
        <v>12000000</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2327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1717</v>
      </c>
      <c r="J211" s="2093"/>
      <c r="K211" s="2093"/>
      <c r="L211" s="570"/>
      <c r="M211" s="570"/>
      <c r="N211" s="570"/>
      <c r="O211" s="570"/>
      <c r="P211" s="570"/>
      <c r="Q211" s="570"/>
      <c r="R211" s="570"/>
      <c r="S211" s="570"/>
      <c r="T211" s="1905" t="s">
        <v>1711</v>
      </c>
      <c r="U211" s="1905"/>
      <c r="V211" s="1905"/>
      <c r="W211" s="1905"/>
      <c r="X211" s="1905"/>
      <c r="Y211" s="1905"/>
      <c r="Z211" s="883"/>
      <c r="AA211" s="523"/>
      <c r="AB211" s="2090" t="s">
        <v>1712</v>
      </c>
      <c r="AC211" s="2090"/>
      <c r="AD211" s="2090"/>
      <c r="AE211" s="2090"/>
      <c r="AF211" s="2090"/>
      <c r="AG211" s="2090"/>
      <c r="AH211" s="861"/>
      <c r="AI211" s="861"/>
      <c r="AJ211" s="861"/>
      <c r="AK211" s="644"/>
    </row>
    <row r="212" spans="1:37">
      <c r="A212" s="639"/>
      <c r="B212" s="2091" t="s">
        <v>1697</v>
      </c>
      <c r="C212" s="2091"/>
      <c r="D212" s="2091"/>
      <c r="E212" s="2091"/>
      <c r="F212" s="2091"/>
      <c r="G212" s="2091"/>
      <c r="I212" s="2092" t="s">
        <v>1718</v>
      </c>
      <c r="J212" s="2092"/>
      <c r="K212" s="2092"/>
      <c r="L212" s="1040"/>
      <c r="N212" s="1940" t="s">
        <v>1713</v>
      </c>
      <c r="O212" s="1940"/>
      <c r="P212" s="1940"/>
      <c r="Q212" s="1940"/>
      <c r="R212" s="1940"/>
      <c r="T212" s="1940" t="s">
        <v>1714</v>
      </c>
      <c r="U212" s="1940"/>
      <c r="V212" s="1940"/>
      <c r="W212" s="1940"/>
      <c r="X212" s="1940"/>
      <c r="Y212" s="1940"/>
      <c r="Z212" s="884"/>
      <c r="AA212" s="523"/>
      <c r="AB212" s="1943" t="s">
        <v>1715</v>
      </c>
      <c r="AC212" s="1943"/>
      <c r="AD212" s="1943"/>
      <c r="AE212" s="1943"/>
      <c r="AF212" s="1943"/>
      <c r="AG212" s="1943"/>
      <c r="AH212" s="861"/>
      <c r="AI212" s="861"/>
      <c r="AJ212" s="861"/>
      <c r="AK212" s="644"/>
    </row>
    <row r="213" spans="1:37">
      <c r="A213" s="639"/>
      <c r="B213" s="1942" t="s">
        <v>1288</v>
      </c>
      <c r="C213" s="1942"/>
      <c r="D213" s="1942"/>
      <c r="E213" s="1942"/>
      <c r="F213" s="1942"/>
      <c r="G213" s="1942"/>
      <c r="H213" s="886"/>
      <c r="I213" s="1910"/>
      <c r="J213" s="1910"/>
      <c r="K213" s="1910"/>
      <c r="L213" s="1040"/>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1288</v>
      </c>
      <c r="C214" s="1942"/>
      <c r="D214" s="1942"/>
      <c r="E214" s="1942"/>
      <c r="F214" s="1942"/>
      <c r="G214" s="1942"/>
      <c r="I214" s="1910"/>
      <c r="J214" s="1910"/>
      <c r="K214" s="1910"/>
      <c r="L214" s="1040"/>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1288</v>
      </c>
      <c r="C215" s="1942"/>
      <c r="D215" s="1942"/>
      <c r="E215" s="1942"/>
      <c r="F215" s="1942"/>
      <c r="G215" s="1942"/>
      <c r="I215" s="1910"/>
      <c r="J215" s="1910"/>
      <c r="K215" s="1910"/>
      <c r="L215" s="1040"/>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1288</v>
      </c>
      <c r="C216" s="1942"/>
      <c r="D216" s="1942"/>
      <c r="E216" s="1942"/>
      <c r="F216" s="1942"/>
      <c r="G216" s="1942"/>
      <c r="I216" s="1910"/>
      <c r="J216" s="1910"/>
      <c r="K216" s="1910"/>
      <c r="L216" s="1040"/>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1288</v>
      </c>
      <c r="C217" s="1942"/>
      <c r="D217" s="1942"/>
      <c r="E217" s="1942"/>
      <c r="F217" s="1942"/>
      <c r="G217" s="1942"/>
      <c r="I217" s="1910"/>
      <c r="J217" s="1910"/>
      <c r="K217" s="1910"/>
      <c r="L217" s="1047"/>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1288</v>
      </c>
      <c r="C218" s="1942"/>
      <c r="D218" s="1942"/>
      <c r="E218" s="1942"/>
      <c r="F218" s="1942"/>
      <c r="G218" s="1942"/>
      <c r="I218" s="1910"/>
      <c r="J218" s="1910"/>
      <c r="K218" s="1910"/>
      <c r="L218" s="1047"/>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1288</v>
      </c>
      <c r="C219" s="1942"/>
      <c r="D219" s="1942"/>
      <c r="E219" s="1942"/>
      <c r="F219" s="1942"/>
      <c r="G219" s="1942"/>
      <c r="I219" s="1910"/>
      <c r="J219" s="1910"/>
      <c r="K219" s="1910"/>
      <c r="L219" s="1047"/>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1288</v>
      </c>
      <c r="C220" s="1942"/>
      <c r="D220" s="1942"/>
      <c r="E220" s="1942"/>
      <c r="F220" s="1942"/>
      <c r="G220" s="1942"/>
      <c r="I220" s="1910"/>
      <c r="J220" s="1910"/>
      <c r="K220" s="1910"/>
      <c r="L220" s="1047"/>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1288</v>
      </c>
      <c r="C221" s="1942"/>
      <c r="D221" s="1942"/>
      <c r="E221" s="1942"/>
      <c r="F221" s="1942"/>
      <c r="G221" s="1942"/>
      <c r="I221" s="1910"/>
      <c r="J221" s="1910"/>
      <c r="K221" s="1910"/>
      <c r="L221" s="1047"/>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1288</v>
      </c>
      <c r="C222" s="1942"/>
      <c r="D222" s="1942"/>
      <c r="E222" s="1942"/>
      <c r="F222" s="1942"/>
      <c r="G222" s="1942"/>
      <c r="I222" s="2094"/>
      <c r="J222" s="2094"/>
      <c r="K222" s="2094"/>
      <c r="L222" s="1047"/>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5"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12000000</v>
      </c>
      <c r="AH257" s="1918"/>
      <c r="AI257" s="1918"/>
      <c r="AJ257" s="1918"/>
      <c r="AK257" s="1918"/>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78744594.367705941</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0.15</v>
      </c>
      <c r="AH259" s="2067"/>
      <c r="AI259" s="2067"/>
      <c r="AJ259" s="2067"/>
      <c r="AK259" s="2067"/>
    </row>
    <row r="260" spans="1:52">
      <c r="A260" s="656"/>
      <c r="B260" s="1010" t="s">
        <v>1925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09"/>
      <c r="AH260" s="1009"/>
      <c r="AI260" s="1009"/>
      <c r="AJ260" s="1009"/>
      <c r="AK260" s="1009"/>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553</v>
      </c>
      <c r="D267" s="1936"/>
      <c r="E267" s="581"/>
      <c r="F267" s="1887" t="s">
        <v>2328</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1472</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5"/>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c r="AD272" s="1057"/>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2039</v>
      </c>
      <c r="AH277" s="625" t="s">
        <v>1423</v>
      </c>
    </row>
    <row r="278" spans="1:49" ht="15" customHeight="1">
      <c r="B278" s="573"/>
    </row>
    <row r="279" spans="1:49" ht="15" customHeight="1">
      <c r="B279" s="573" t="s">
        <v>1912</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1491</v>
      </c>
      <c r="B281" s="1617"/>
      <c r="C281" s="2030" t="s">
        <v>599</v>
      </c>
      <c r="D281" s="1936"/>
      <c r="E281" s="581"/>
      <c r="F281" s="2058" t="s">
        <v>1492</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2321</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2329</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1493</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1494</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1495</v>
      </c>
      <c r="B291" s="1617"/>
      <c r="C291" s="1936" t="s">
        <v>553</v>
      </c>
      <c r="D291" s="1936"/>
      <c r="E291" s="581"/>
      <c r="F291" s="678" t="s">
        <v>2322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0" t="s">
        <v>2323</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1498</v>
      </c>
      <c r="B299" s="1617"/>
      <c r="C299" s="1936" t="s">
        <v>599</v>
      </c>
      <c r="D299" s="1936"/>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3" t="s">
        <v>2330</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1288</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1914</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2"/>
      <c r="AE302" s="585"/>
      <c r="AF302" s="585"/>
      <c r="AG302" s="573"/>
      <c r="AH302" s="585"/>
      <c r="AI302" s="585"/>
      <c r="AJ302" s="584"/>
      <c r="AK302" s="584"/>
      <c r="AL302" s="584"/>
      <c r="AM302" s="584"/>
      <c r="AN302" s="73"/>
      <c r="AO302" s="14"/>
      <c r="AP302" s="591" t="s">
        <v>1916</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2"/>
      <c r="AE303" s="585"/>
      <c r="AF303" s="585"/>
      <c r="AG303" s="573"/>
      <c r="AH303" s="585"/>
      <c r="AI303" s="585"/>
      <c r="AJ303" s="584"/>
      <c r="AK303" s="584"/>
      <c r="AL303" s="584"/>
      <c r="AM303" s="584"/>
      <c r="AN303" s="73"/>
      <c r="AO303" s="14"/>
      <c r="AP303" s="591" t="s">
        <v>2041</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1288</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07"/>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696</v>
      </c>
      <c r="H313" s="609"/>
      <c r="I313" s="2049" t="s">
        <v>1288</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1917</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1919</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1918</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9" t="s">
        <v>1288</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7" t="s">
        <v>1501</v>
      </c>
      <c r="B322" s="1617"/>
      <c r="C322" s="1936" t="s">
        <v>599</v>
      </c>
      <c r="D322" s="1936"/>
      <c r="E322" s="581"/>
      <c r="F322" s="2037" t="s">
        <v>2331</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7" t="s">
        <v>1423</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1563</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2398</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2562</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1564</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1565</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7</v>
      </c>
      <c r="AS348" s="573" t="s">
        <v>1566</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589</v>
      </c>
      <c r="AP350" s="730">
        <f>IF(C396="Yes",5,0)</f>
        <v>0</v>
      </c>
      <c r="AS350" s="573" t="s">
        <v>2064</v>
      </c>
    </row>
    <row r="351" spans="1:46" s="584" customFormat="1" ht="12.75" customHeight="1">
      <c r="A351" s="637"/>
      <c r="B351" s="645"/>
      <c r="C351" s="2025" t="s">
        <v>1567</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227</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1" t="s">
        <v>1568</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464</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469</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2565</v>
      </c>
      <c r="D362" s="737"/>
      <c r="E362" s="737"/>
      <c r="F362" s="737"/>
      <c r="G362" s="737"/>
      <c r="H362" s="737"/>
      <c r="I362" s="737"/>
      <c r="J362" s="737"/>
      <c r="K362" s="737"/>
      <c r="L362" s="737"/>
      <c r="M362" s="701"/>
      <c r="N362" s="701"/>
      <c r="O362" s="738"/>
      <c r="P362" s="737"/>
      <c r="Q362" s="737"/>
      <c r="R362" s="701"/>
      <c r="S362" s="701"/>
      <c r="T362" s="737"/>
      <c r="U362" s="1932">
        <f>Application!CS660-U363</f>
        <v>280</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2566</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4">
        <f>IF(AP364&gt;0,AP364,0)</f>
        <v>0</v>
      </c>
      <c r="AR364" s="1934"/>
    </row>
    <row r="365" spans="1:81" s="584" customFormat="1" ht="12.75" customHeight="1">
      <c r="A365" s="637"/>
      <c r="B365" s="14"/>
      <c r="C365" s="746" t="s">
        <v>2563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5" t="s">
        <v>1570</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599</v>
      </c>
      <c r="D370" s="1936"/>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1572</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5" t="s">
        <v>1573</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599</v>
      </c>
      <c r="D378" s="1936"/>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1572</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5" t="s">
        <v>1575</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553</v>
      </c>
      <c r="D386" s="1936"/>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1577</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599</v>
      </c>
      <c r="D388" s="1936"/>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1572</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5" t="s">
        <v>1581</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599</v>
      </c>
      <c r="D396" s="1936"/>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1572</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553</v>
      </c>
      <c r="D398" s="1936"/>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1584</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599</v>
      </c>
      <c r="D401" s="1936"/>
      <c r="E401" s="749" t="s">
        <v>1585</v>
      </c>
      <c r="F401" s="1925" t="s">
        <v>1586</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1572</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5" t="s">
        <v>1588</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599</v>
      </c>
      <c r="D410" s="1936"/>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1572</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599</v>
      </c>
      <c r="D412" s="1936"/>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1584</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5" t="s">
        <v>1592</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599</v>
      </c>
      <c r="D419" s="1936"/>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1572</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25" t="s">
        <v>1595</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599</v>
      </c>
      <c r="D431" s="1936"/>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1572</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5" t="s">
        <v>1598</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599</v>
      </c>
      <c r="D438" s="1936"/>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1572</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599</v>
      </c>
      <c r="D442" s="2054"/>
      <c r="E442" s="749" t="s">
        <v>1607</v>
      </c>
      <c r="F442" s="1925" t="s">
        <v>1608</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1572</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599</v>
      </c>
      <c r="D446" s="1936"/>
      <c r="E446" s="749" t="s">
        <v>1613</v>
      </c>
      <c r="F446" s="1925" t="s">
        <v>1614</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1572</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5" t="s">
        <v>1617</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599</v>
      </c>
      <c r="D455" s="1936"/>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1572</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48"/>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4" t="s">
        <v>1621</v>
      </c>
      <c r="AF461" s="1924"/>
      <c r="AG461" s="1924"/>
      <c r="AH461" s="1924"/>
      <c r="AI461" s="1924"/>
      <c r="AJ461" s="1924"/>
      <c r="AK461" s="1924"/>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1" t="s">
        <v>599</v>
      </c>
      <c r="D467" s="2002"/>
      <c r="E467" s="795" t="s">
        <v>515</v>
      </c>
      <c r="F467" s="2022" t="s">
        <v>1627</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7" t="s">
        <v>599</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8" t="s">
        <v>553</v>
      </c>
      <c r="D471" s="2019"/>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0" t="s">
        <v>599</v>
      </c>
      <c r="W474" s="1930"/>
      <c r="X474" s="1930"/>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0" t="s">
        <v>599</v>
      </c>
      <c r="W476" s="1930"/>
      <c r="X476" s="1930"/>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0" t="s">
        <v>599</v>
      </c>
      <c r="W481" s="1930"/>
      <c r="X481" s="1930"/>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4"/>
      <c r="E484" s="2004"/>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0" t="s">
        <v>599</v>
      </c>
      <c r="W485" s="1930"/>
      <c r="X485" s="1930"/>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0" t="s">
        <v>599</v>
      </c>
      <c r="W487" s="1930"/>
      <c r="X487" s="1930"/>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599</v>
      </c>
      <c r="D490" s="2002"/>
      <c r="E490" s="795" t="s">
        <v>515</v>
      </c>
      <c r="F490" s="2022" t="s">
        <v>1627</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599</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599</v>
      </c>
      <c r="D494" s="2002"/>
      <c r="E494" s="795" t="s">
        <v>766</v>
      </c>
      <c r="F494" s="2010" t="s">
        <v>1649</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599</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599</v>
      </c>
      <c r="D499" s="2002"/>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599</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599</v>
      </c>
      <c r="D504" s="2007"/>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599</v>
      </c>
      <c r="D508" s="2007"/>
      <c r="F508" s="829" t="s">
        <v>1657</v>
      </c>
      <c r="G508" s="1926" t="s">
        <v>1658</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599</v>
      </c>
      <c r="D512" s="2014"/>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599</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1670</v>
      </c>
      <c r="AF527" s="1927"/>
      <c r="AG527" s="1927"/>
      <c r="AH527" s="1927"/>
      <c r="AI527" s="1927"/>
      <c r="AJ527" s="1927"/>
      <c r="AK527" s="1927"/>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553</v>
      </c>
      <c r="D530" s="1936"/>
      <c r="E530" s="585"/>
      <c r="F530" s="1995" t="s">
        <v>1671</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599</v>
      </c>
      <c r="D533" s="1936"/>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1673</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2334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1674</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96314580</v>
      </c>
      <c r="AQ539" s="1908"/>
      <c r="AR539" s="1908"/>
      <c r="AS539" s="584" t="s">
        <v>2523</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71352217.710673317</v>
      </c>
      <c r="AG540" s="1918"/>
      <c r="AH540" s="1918"/>
      <c r="AI540" s="1918"/>
      <c r="AJ540" s="1918"/>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180108264.60000002</v>
      </c>
      <c r="AG541" s="1919"/>
      <c r="AH541" s="1919"/>
      <c r="AI541" s="1919"/>
      <c r="AJ541" s="1919"/>
      <c r="AK541" s="629"/>
      <c r="AL541" s="629"/>
      <c r="AM541" s="629"/>
      <c r="AN541" s="631"/>
      <c r="AP541" s="1908">
        <f>Application!AJ1044</f>
        <v>6742020.6000000006</v>
      </c>
      <c r="AQ541" s="1908"/>
      <c r="AR541" s="1908"/>
      <c r="AS541" s="584" t="s">
        <v>2050</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0.6</v>
      </c>
      <c r="AG542" s="1920"/>
      <c r="AH542" s="1920"/>
      <c r="AI542" s="1920"/>
      <c r="AJ542" s="1920"/>
      <c r="AK542" s="629"/>
      <c r="AL542" s="629"/>
      <c r="AM542" s="629"/>
      <c r="AN542" s="631"/>
      <c r="AP542" s="1909">
        <f>Application!AJ1048</f>
        <v>48157290</v>
      </c>
      <c r="AQ542" s="1909"/>
      <c r="AR542" s="1909"/>
      <c r="AS542" s="584" t="s">
        <v>2524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0.57000000000000006</v>
      </c>
      <c r="AQ543" s="1928"/>
      <c r="AR543" s="1928"/>
      <c r="AS543" s="584" t="s">
        <v>2525</v>
      </c>
    </row>
    <row r="544" spans="1:49" s="584" customFormat="1" ht="12.75" customHeight="1">
      <c r="A544" s="658"/>
      <c r="B544" s="1974" t="s">
        <v>2335</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125208954</v>
      </c>
      <c r="AQ545" s="1929"/>
      <c r="AR545" s="1929"/>
      <c r="AS545" s="584" t="s">
        <v>2527</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180108264.59999999</v>
      </c>
      <c r="AQ546" s="1908"/>
      <c r="AR546" s="1908"/>
      <c r="AS546" s="584" t="s">
        <v>2526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3">
        <f>IFERROR(IF(AND(C530="N/A",C533="N/A"),0,IF(AF542=0,0,IF((AF542*100)&gt;12,12,(AF542*100)))),0)</f>
        <v>12</v>
      </c>
      <c r="AL548" s="1983"/>
      <c r="AM548" s="1984"/>
      <c r="AN548" s="631"/>
      <c r="AP548" s="1897">
        <f>AP545+(AP539*AP543)</f>
        <v>180108264.60000002</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2325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1423</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2326</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1447</v>
      </c>
      <c r="AG567" s="1994"/>
      <c r="AH567" s="1994"/>
      <c r="AI567" s="1994"/>
      <c r="AJ567" s="1994"/>
      <c r="AK567" s="1994"/>
      <c r="AL567" s="1994"/>
      <c r="AN567" s="631"/>
    </row>
    <row r="568" spans="1:42" s="584" customFormat="1" ht="12.75" customHeight="1">
      <c r="B568" s="570"/>
      <c r="C568" s="650"/>
      <c r="D568" s="697"/>
      <c r="E568" s="872" t="s">
        <v>1883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2528</v>
      </c>
      <c r="AP571" s="584" t="b">
        <f>IF(Application!AF418&gt;=25,TRUE,FALSE)</f>
        <v>1</v>
      </c>
    </row>
    <row r="572" spans="1:42" s="584" customFormat="1" ht="12.75" customHeight="1">
      <c r="B572" s="570"/>
      <c r="C572" s="650"/>
      <c r="D572" s="697"/>
      <c r="E572" s="872" t="s">
        <v>1887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2529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1888</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1505</v>
      </c>
      <c r="AG574" s="1994"/>
      <c r="AH574" s="1994"/>
      <c r="AI574" s="1994"/>
      <c r="AJ574" s="1994"/>
      <c r="AK574" s="1994"/>
      <c r="AL574" s="1994"/>
      <c r="AN574" s="631"/>
    </row>
    <row r="575" spans="1:42" s="584" customFormat="1" ht="12.75" customHeight="1">
      <c r="B575" s="570"/>
      <c r="C575" s="968"/>
      <c r="D575" s="697"/>
      <c r="E575" s="872" t="s">
        <v>1889</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1890</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1892</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1891</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1893</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1487</v>
      </c>
      <c r="AG580" s="1994"/>
      <c r="AH580" s="1994"/>
      <c r="AI580" s="1994"/>
      <c r="AJ580" s="1994"/>
      <c r="AK580" s="1994"/>
      <c r="AL580" s="1994"/>
      <c r="AN580" s="631"/>
      <c r="AO580" s="645" t="s">
        <v>1507</v>
      </c>
      <c r="AP580" s="584">
        <v>3</v>
      </c>
    </row>
    <row r="581" spans="1:53" s="584" customFormat="1" ht="12.75" customHeight="1">
      <c r="B581" s="570"/>
      <c r="C581" s="968"/>
      <c r="D581" s="697"/>
      <c r="E581" s="872" t="s">
        <v>1889</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1890</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2531</v>
      </c>
    </row>
    <row r="583" spans="1:53" s="584" customFormat="1" ht="12.75" customHeight="1">
      <c r="B583" s="570"/>
      <c r="C583" s="968"/>
      <c r="D583" s="697"/>
      <c r="E583" s="872" t="s">
        <v>1892</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2532</v>
      </c>
    </row>
    <row r="584" spans="1:53" s="584" customFormat="1" ht="12.75" customHeight="1">
      <c r="B584" s="570"/>
      <c r="C584" s="968"/>
      <c r="D584" s="697"/>
      <c r="E584" s="872" t="s">
        <v>1891</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1894</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1508</v>
      </c>
      <c r="AG586" s="1994"/>
      <c r="AH586" s="1994"/>
      <c r="AI586" s="1994"/>
      <c r="AJ586" s="1994"/>
      <c r="AK586" s="1994"/>
      <c r="AL586" s="1994"/>
      <c r="AN586" s="631"/>
      <c r="AO586" s="584" t="str">
        <f>X623</f>
        <v>N/A</v>
      </c>
    </row>
    <row r="587" spans="1:53" s="584" customFormat="1" ht="12.75" customHeight="1">
      <c r="B587" s="570"/>
      <c r="C587" s="968"/>
      <c r="D587" s="697"/>
      <c r="E587" s="872" t="s">
        <v>1895</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1896</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2535</v>
      </c>
    </row>
    <row r="590" spans="1:53" s="584" customFormat="1" ht="12.75" customHeight="1">
      <c r="B590" s="644"/>
      <c r="C590" s="966"/>
      <c r="D590" s="697"/>
      <c r="E590" s="570" t="s">
        <v>2051</v>
      </c>
      <c r="O590" s="2033" t="s">
        <v>1288</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1898</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1461</v>
      </c>
      <c r="AG592" s="1994"/>
      <c r="AH592" s="1994"/>
      <c r="AI592" s="1994"/>
      <c r="AJ592" s="1994"/>
      <c r="AK592" s="1994"/>
      <c r="AL592" s="1994"/>
      <c r="AN592" s="631"/>
    </row>
    <row r="593" spans="2:47" s="584" customFormat="1" ht="12.75" customHeight="1">
      <c r="B593" s="570"/>
      <c r="C593" s="966"/>
      <c r="D593" s="697"/>
      <c r="E593" s="872" t="s">
        <v>1897</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8" t="s">
        <v>696</v>
      </c>
      <c r="I595" s="1938"/>
      <c r="J595" s="971"/>
      <c r="K595" s="971"/>
      <c r="L595" s="971"/>
      <c r="N595" s="22"/>
      <c r="O595" s="22"/>
      <c r="P595" s="22"/>
      <c r="Q595" s="1192" t="s">
        <v>2530</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1899</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1900</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1901</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1902</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2" t="s">
        <v>599</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0" t="s">
        <v>599</v>
      </c>
      <c r="C605" s="2030"/>
      <c r="D605" s="676"/>
      <c r="E605" s="1914" t="s">
        <v>1512</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1">
        <f>VLOOKUP($H$595,$AO$575:$AP$580,2,FALSE)+IF(R595=AO583,0,VLOOKUP($I$603,$AO$602:$AP$604,2,FALSE))</f>
        <v>7</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1" t="s">
        <v>1878</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1461</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0" t="s">
        <v>599</v>
      </c>
      <c r="Y623" s="203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1517</v>
      </c>
      <c r="AG625" s="1994"/>
      <c r="AH625" s="1994"/>
      <c r="AI625" s="1994"/>
      <c r="AJ625" s="1994"/>
      <c r="AK625" s="1994"/>
      <c r="AL625" s="1994"/>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8" t="s">
        <v>696</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1">
        <f>VLOOKUP($H$627,$AO$594:$AP$596,2,FALSE)</f>
        <v>3</v>
      </c>
      <c r="AK629" s="1923"/>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4" t="s">
        <v>2405</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1461</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1517</v>
      </c>
      <c r="AG636" s="1994"/>
      <c r="AH636" s="1994"/>
      <c r="AI636" s="1994"/>
      <c r="AJ636" s="1994"/>
      <c r="AK636" s="1994"/>
      <c r="AL636" s="1994"/>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8" t="s">
        <v>696</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1">
        <f>VLOOKUP(H639,AT594:AU596,2,FALSE)</f>
        <v>3</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4" t="s">
        <v>1527</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1487</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4" t="s">
        <v>1528</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1508</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4" t="s">
        <v>1529</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1461</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599</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4" t="s">
        <v>1530</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1508</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4" t="s">
        <v>1531</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1461</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4" t="s">
        <v>1532</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1517</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4" t="s">
        <v>1533</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1534</v>
      </c>
      <c r="AG670" s="1994"/>
      <c r="AH670" s="1994"/>
      <c r="AI670" s="1994"/>
      <c r="AJ670" s="1994"/>
      <c r="AK670" s="1994"/>
      <c r="AL670" s="1994"/>
      <c r="AM670" s="630"/>
      <c r="AN670" s="631"/>
      <c r="AO670" s="645" t="s">
        <v>696</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8" t="s">
        <v>696</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1">
        <f>VLOOKUP($H$674,$AO$622:$AP$629,2,FALSE)</f>
        <v>5</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2444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2537</v>
      </c>
      <c r="AX679" s="1193">
        <f>Application!G753</f>
        <v>158</v>
      </c>
    </row>
    <row r="680" spans="1:51" s="584" customFormat="1" ht="12.75" customHeight="1">
      <c r="A680" s="713"/>
      <c r="B680" s="570"/>
      <c r="C680" s="983"/>
      <c r="D680" s="697" t="s">
        <v>696</v>
      </c>
      <c r="E680" s="2029" t="s">
        <v>2543</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1461</v>
      </c>
      <c r="AG680" s="1994"/>
      <c r="AH680" s="1994"/>
      <c r="AI680" s="1994"/>
      <c r="AJ680" s="1994"/>
      <c r="AK680" s="1994"/>
      <c r="AL680" s="1994"/>
      <c r="AN680" s="631"/>
      <c r="AW680" s="22" t="s">
        <v>2538</v>
      </c>
      <c r="AX680" s="584">
        <f>Application!CC632</f>
        <v>40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2539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2540</v>
      </c>
      <c r="AX682" s="584">
        <f>Application!CM632</f>
        <v>0</v>
      </c>
    </row>
    <row r="683" spans="1:51" s="584" customFormat="1" ht="12.75" customHeight="1">
      <c r="B683" s="570"/>
      <c r="C683" s="966"/>
      <c r="D683" s="697" t="s">
        <v>517</v>
      </c>
      <c r="E683" s="1914" t="s">
        <v>2442</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1461</v>
      </c>
      <c r="AG683" s="1994"/>
      <c r="AH683" s="1994"/>
      <c r="AI683" s="1994"/>
      <c r="AJ683" s="1994"/>
      <c r="AK683" s="1994"/>
      <c r="AL683" s="1994"/>
      <c r="AN683" s="631"/>
      <c r="AW683" s="22" t="s">
        <v>2541</v>
      </c>
      <c r="AX683" s="584">
        <f>AX680+AX681+AX682</f>
        <v>40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2542</v>
      </c>
      <c r="AX684" s="584">
        <f>IFERROR(AX683/AX679,0)</f>
        <v>0.25316455696202533</v>
      </c>
      <c r="AY684" s="584">
        <f>IFERROR(AX683/(AX679-AX678),0)</f>
        <v>0.25316455696202533</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4" t="s">
        <v>2443</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1517</v>
      </c>
      <c r="AG688" s="1994"/>
      <c r="AH688" s="1994"/>
      <c r="AI688" s="1994"/>
      <c r="AJ688" s="1994"/>
      <c r="AK688" s="1994"/>
      <c r="AL688" s="1994"/>
      <c r="AN688" s="631"/>
      <c r="AO688" s="645" t="s">
        <v>517</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4" t="s">
        <v>1877</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8" t="s">
        <v>696</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2445</v>
      </c>
      <c r="AJ700" s="1921">
        <f>VLOOKUP($H$698,$AO$692:$AP$694,2,FALSE)</f>
        <v>3</v>
      </c>
      <c r="AK700" s="1923"/>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7" t="s">
        <v>1879</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1461</v>
      </c>
      <c r="AG704" s="1994"/>
      <c r="AH704" s="1994"/>
      <c r="AI704" s="1994"/>
      <c r="AJ704" s="1994"/>
      <c r="AK704" s="1994"/>
      <c r="AL704" s="1994"/>
      <c r="AM704" s="584"/>
      <c r="AN704" s="718"/>
      <c r="AP704" s="604" t="s">
        <v>1541</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8" t="s">
        <v>1544</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1517</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8" t="s">
        <v>599</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4" t="s">
        <v>1880</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1461</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4" t="s">
        <v>1548</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1517</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8" t="s">
        <v>599</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4" t="s">
        <v>1551</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1461</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4" t="s">
        <v>1552</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1517</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8" t="s">
        <v>696</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1">
        <f>VLOOKUP($H$740,$AO$669:$AP$671,2,FALSE)</f>
        <v>3</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4" t="s">
        <v>1554</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1517</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4" t="s">
        <v>1555</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1534</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8" t="s">
        <v>696</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1">
        <f>VLOOKUP($H$752,$AO$686:$AP$688,2,FALSE)</f>
        <v>2</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4" t="s">
        <v>1876</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1517</v>
      </c>
      <c r="AG758" s="1994"/>
      <c r="AH758" s="1994"/>
      <c r="AI758" s="1994"/>
      <c r="AJ758" s="1994"/>
      <c r="AK758" s="1994"/>
      <c r="AL758" s="1994"/>
      <c r="AM758" s="647"/>
      <c r="AN758" s="718"/>
      <c r="AO758" s="584" t="s">
        <v>599</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1881</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1461</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8" t="s">
        <v>599</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4" t="s">
        <v>2336</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1461</v>
      </c>
      <c r="AG774" s="1994"/>
      <c r="AH774" s="1994"/>
      <c r="AI774" s="1994"/>
      <c r="AJ774" s="1994"/>
      <c r="AK774" s="1994"/>
      <c r="AL774" s="199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8" t="s">
        <v>599</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1678</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1679</v>
      </c>
      <c r="U791" s="1989"/>
      <c r="V791" s="1989"/>
      <c r="W791" s="1989"/>
      <c r="X791" s="1989"/>
      <c r="Y791" s="1990"/>
      <c r="Z791" s="1988" t="s">
        <v>1680</v>
      </c>
      <c r="AA791" s="1989"/>
      <c r="AB791" s="1989"/>
      <c r="AC791" s="1989"/>
      <c r="AD791" s="1989"/>
      <c r="AE791" s="1990"/>
      <c r="AF791" s="1988" t="s">
        <v>1681</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766</v>
      </c>
      <c r="B793" s="1945" t="s">
        <v>1413</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1651</v>
      </c>
      <c r="B794" s="1945" t="s">
        <v>1422</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1660</v>
      </c>
      <c r="B795" s="1945" t="s">
        <v>1432</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1682</v>
      </c>
      <c r="B796" s="1945" t="s">
        <v>1442</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1683</v>
      </c>
      <c r="B797" s="1945" t="s">
        <v>1684</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1685</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1686</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1470</v>
      </c>
      <c r="B800" s="1945" t="s">
        <v>1687</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1479</v>
      </c>
      <c r="B801" s="1945" t="s">
        <v>1480</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597</v>
      </c>
      <c r="B802" s="1945" t="s">
        <v>1688</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5" t="s">
        <v>1689</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5" t="s">
        <v>1490</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5" t="s">
        <v>856</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5" t="s">
        <v>1669</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2324</v>
      </c>
      <c r="B808" s="1945" t="s">
        <v>1691</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1692</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1693</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1694</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67" sqref="G67"/>
    </sheetView>
  </sheetViews>
  <sheetFormatPr defaultColWidth="9.140625" defaultRowHeight="14.25"/>
  <cols>
    <col min="1" max="1" width="2.42578125" style="1076" customWidth="1"/>
    <col min="2" max="9" width="14.7109375" style="1076" customWidth="1"/>
    <col min="10" max="10" width="2.28515625" style="1076" customWidth="1"/>
    <col min="11" max="11" width="11.85546875" style="1077" customWidth="1"/>
    <col min="12" max="12" width="10.7109375" style="1076" customWidth="1"/>
    <col min="13" max="13" width="10.42578125" style="1076" customWidth="1"/>
    <col min="14" max="14" width="10.85546875" style="1076" customWidth="1"/>
    <col min="15" max="16384" width="9.140625" style="1076"/>
  </cols>
  <sheetData>
    <row r="1" spans="1:13" ht="30" customHeight="1">
      <c r="A1" s="2147" t="s">
        <v>1695</v>
      </c>
      <c r="B1" s="2147"/>
      <c r="C1" s="2147"/>
      <c r="D1" s="2147"/>
      <c r="E1" s="2147"/>
      <c r="F1" s="2147"/>
      <c r="G1" s="2147"/>
      <c r="H1" s="2147"/>
      <c r="I1" s="2147"/>
      <c r="J1" s="2147"/>
    </row>
    <row r="2" spans="1:13" ht="15" customHeight="1" thickBot="1">
      <c r="A2" s="1078"/>
      <c r="B2" s="1078"/>
      <c r="I2" s="1079"/>
      <c r="K2" s="1080"/>
    </row>
    <row r="3" spans="1:13" s="1083" customFormat="1" ht="20.100000000000001" customHeight="1">
      <c r="A3" s="1137"/>
      <c r="B3" s="1138"/>
      <c r="C3" s="1139"/>
      <c r="D3" s="1144"/>
      <c r="E3" s="1139"/>
      <c r="F3" s="1140" t="s">
        <v>2289</v>
      </c>
      <c r="G3" s="1139"/>
      <c r="H3" s="1141">
        <f>E16</f>
        <v>49231136</v>
      </c>
      <c r="I3" s="1142"/>
    </row>
    <row r="4" spans="1:13" s="1083" customFormat="1" ht="20.100000000000001" customHeight="1">
      <c r="B4" s="1131"/>
      <c r="D4" s="1145"/>
      <c r="F4" s="1129" t="s">
        <v>2291</v>
      </c>
      <c r="G4" s="1128" t="s">
        <v>2290</v>
      </c>
      <c r="H4" s="1130">
        <f>I16</f>
        <v>52014338.235294119</v>
      </c>
      <c r="I4" s="1132"/>
      <c r="K4" s="1087"/>
    </row>
    <row r="5" spans="1:13" s="1083" customFormat="1" ht="20.100000000000001" customHeight="1" thickBot="1">
      <c r="B5" s="1133"/>
      <c r="C5" s="1134"/>
      <c r="D5" s="1146"/>
      <c r="E5" s="1135"/>
      <c r="F5" s="1146" t="s">
        <v>2231</v>
      </c>
      <c r="G5" s="1147"/>
      <c r="H5" s="1143">
        <f>H3/H4</f>
        <v>0.94649163423546956</v>
      </c>
      <c r="I5" s="1136"/>
      <c r="K5" s="1087"/>
    </row>
    <row r="6" spans="1:13" s="1083" customFormat="1" ht="15" customHeight="1">
      <c r="B6" s="1084"/>
      <c r="C6" s="1085"/>
      <c r="F6" s="1086"/>
      <c r="K6" s="1087"/>
    </row>
    <row r="7" spans="1:13" s="1083" customFormat="1" ht="15" customHeight="1">
      <c r="E7" s="1088"/>
      <c r="F7" s="1086"/>
      <c r="K7" s="1089"/>
    </row>
    <row r="8" spans="1:13" s="1083" customFormat="1" ht="15" customHeight="1">
      <c r="A8" s="1090"/>
      <c r="B8" s="2148" t="s">
        <v>2229</v>
      </c>
      <c r="C8" s="2149"/>
      <c r="D8" s="2149"/>
      <c r="E8" s="2150"/>
      <c r="G8" s="2151" t="s">
        <v>2230</v>
      </c>
      <c r="H8" s="2152"/>
      <c r="I8" s="2153"/>
      <c r="K8" s="1089"/>
    </row>
    <row r="9" spans="1:13" ht="15" customHeight="1">
      <c r="A9" s="1078"/>
      <c r="B9" s="2142" t="s">
        <v>2268</v>
      </c>
      <c r="C9" s="2142"/>
      <c r="D9" s="2142"/>
      <c r="E9" s="1091">
        <f>G31</f>
        <v>9425000</v>
      </c>
      <c r="G9" s="2145" t="s">
        <v>2266</v>
      </c>
      <c r="H9" s="2145"/>
      <c r="I9" s="1092">
        <f>Application!AM554</f>
        <v>37500000</v>
      </c>
      <c r="K9" s="1093"/>
      <c r="M9" s="1094"/>
    </row>
    <row r="10" spans="1:13" ht="15" customHeight="1" thickBot="1">
      <c r="A10" s="1078"/>
      <c r="B10" s="2142" t="s">
        <v>2269</v>
      </c>
      <c r="C10" s="2142"/>
      <c r="D10" s="2142"/>
      <c r="E10" s="1092">
        <f>G40</f>
        <v>20721636.000000004</v>
      </c>
      <c r="G10" s="2145" t="s">
        <v>2232</v>
      </c>
      <c r="H10" s="2145"/>
      <c r="I10" s="1179">
        <f>'Basis &amp; Credits'!AB77</f>
        <v>21000000</v>
      </c>
      <c r="M10" s="1094"/>
    </row>
    <row r="11" spans="1:13" ht="15" customHeight="1">
      <c r="A11" s="1095"/>
      <c r="B11" s="2142" t="s">
        <v>2270</v>
      </c>
      <c r="C11" s="2142"/>
      <c r="D11" s="2142"/>
      <c r="E11" s="1092">
        <f>G49</f>
        <v>0</v>
      </c>
      <c r="G11" s="2145" t="s">
        <v>2281</v>
      </c>
      <c r="H11" s="2145"/>
      <c r="I11" s="1178">
        <f>I9+I10</f>
        <v>58500000</v>
      </c>
      <c r="M11" s="1094"/>
    </row>
    <row r="12" spans="1:13" ht="15" customHeight="1">
      <c r="A12" s="1081"/>
      <c r="B12" s="2142" t="s">
        <v>2271</v>
      </c>
      <c r="C12" s="2142"/>
      <c r="D12" s="2142"/>
      <c r="E12" s="1092">
        <f>G58</f>
        <v>800000</v>
      </c>
      <c r="G12" s="1180" t="s">
        <v>2306</v>
      </c>
      <c r="H12" s="1181"/>
      <c r="M12" s="1094"/>
    </row>
    <row r="13" spans="1:13" ht="15" customHeight="1">
      <c r="A13" s="1078"/>
      <c r="B13" s="2142" t="s">
        <v>2272</v>
      </c>
      <c r="C13" s="2142"/>
      <c r="D13" s="2142"/>
      <c r="E13" s="1097">
        <f>G83</f>
        <v>14514500</v>
      </c>
      <c r="G13" s="2146" t="s">
        <v>139</v>
      </c>
      <c r="H13" s="2146"/>
      <c r="I13" s="1096">
        <f>15%*(Application!AJ993&gt;0)</f>
        <v>0</v>
      </c>
      <c r="M13" s="1094"/>
    </row>
    <row r="14" spans="1:13" ht="15" customHeight="1">
      <c r="A14" s="1078"/>
      <c r="B14" s="2142" t="s">
        <v>2273</v>
      </c>
      <c r="C14" s="2142"/>
      <c r="D14" s="2142"/>
      <c r="E14" s="1092">
        <f>IF(G96&gt;G106,G96,0)</f>
        <v>0</v>
      </c>
      <c r="G14" s="1176" t="s">
        <v>2282</v>
      </c>
      <c r="H14" s="1176"/>
      <c r="I14" s="1096">
        <f>IF(Application!AJ1031&gt;0,10%,IF(Application!AJ1035&gt;0,5%,0))</f>
        <v>0.05</v>
      </c>
      <c r="M14" s="1094"/>
    </row>
    <row r="15" spans="1:13" ht="15" customHeight="1" thickBot="1">
      <c r="A15" s="1078"/>
      <c r="B15" s="2143" t="s">
        <v>2292</v>
      </c>
      <c r="C15" s="2143"/>
      <c r="D15" s="2143"/>
      <c r="E15" s="1148">
        <f>IF(E14&gt;0,0,G106)</f>
        <v>3770000</v>
      </c>
      <c r="G15" s="2140" t="s">
        <v>2283</v>
      </c>
      <c r="H15" s="2141"/>
      <c r="I15" s="1150">
        <f>G114</f>
        <v>6.0866013071895424E-2</v>
      </c>
      <c r="M15" s="1094"/>
    </row>
    <row r="16" spans="1:13" ht="15" customHeight="1">
      <c r="A16" s="1078"/>
      <c r="B16" s="2144" t="s">
        <v>2228</v>
      </c>
      <c r="C16" s="2144"/>
      <c r="D16" s="2144"/>
      <c r="E16" s="1149">
        <f>SUM(E9:E15)</f>
        <v>49231136</v>
      </c>
      <c r="G16" s="1177" t="s">
        <v>2267</v>
      </c>
      <c r="H16" s="1177"/>
      <c r="I16" s="1151">
        <f>I11-((I11*I13)+(I11*I14)+(I11*I15))</f>
        <v>52014338.235294119</v>
      </c>
    </row>
    <row r="17" spans="1:20" ht="15" customHeight="1">
      <c r="A17" s="1078"/>
      <c r="B17" s="1078"/>
      <c r="E17" s="1098"/>
      <c r="H17" s="1099"/>
      <c r="I17" s="1100"/>
    </row>
    <row r="18" spans="1:20" ht="15" customHeight="1">
      <c r="B18" s="1101" t="str">
        <f>B9</f>
        <v>A. Unit Production Benefit</v>
      </c>
      <c r="C18" s="1102"/>
      <c r="D18" s="1102"/>
      <c r="E18" s="1102"/>
      <c r="F18" s="1102"/>
      <c r="G18" s="1102"/>
      <c r="H18" s="1102"/>
      <c r="I18" s="1103"/>
      <c r="M18" s="1098">
        <f>SUM(Cdlac[Quantity])</f>
        <v>158</v>
      </c>
      <c r="O18" s="1121" t="s">
        <v>590</v>
      </c>
      <c r="P18" s="1076">
        <f>MATCH(Application!T189,Application!BV490:BV547,0)</f>
        <v>19</v>
      </c>
      <c r="S18" s="1098">
        <f>SUM(Cdlac[Population])</f>
        <v>0</v>
      </c>
    </row>
    <row r="19" spans="1:20" ht="15" customHeight="1">
      <c r="A19" s="1078"/>
      <c r="B19" s="1078"/>
      <c r="I19" s="1104"/>
      <c r="L19" s="1076" t="s">
        <v>2224</v>
      </c>
      <c r="M19" s="1076" t="s">
        <v>2223</v>
      </c>
      <c r="N19" s="1076" t="s">
        <v>2237</v>
      </c>
      <c r="O19" s="1076" t="s">
        <v>2238</v>
      </c>
      <c r="P19" s="1076" t="s">
        <v>2225</v>
      </c>
      <c r="Q19" s="1076" t="s">
        <v>2226</v>
      </c>
      <c r="R19" s="1076" t="s">
        <v>2239</v>
      </c>
      <c r="S19" s="1076" t="s">
        <v>2245</v>
      </c>
      <c r="T19" s="1076" t="s">
        <v>385</v>
      </c>
    </row>
    <row r="20" spans="1:20" ht="15" customHeight="1">
      <c r="A20" s="1081"/>
      <c r="C20" s="2138" t="s">
        <v>2285</v>
      </c>
      <c r="D20" s="2138" t="s">
        <v>2286</v>
      </c>
      <c r="E20" s="2138" t="s">
        <v>2287</v>
      </c>
      <c r="F20" s="2138" t="s">
        <v>2288</v>
      </c>
      <c r="G20" s="2138" t="s">
        <v>2284</v>
      </c>
      <c r="H20" s="1105"/>
      <c r="I20" s="1104"/>
      <c r="L20" s="1076">
        <f>IFERROR(MIN(4,MATCH(Application!B718,UnitSizes,0)-1),"")</f>
        <v>1</v>
      </c>
      <c r="M20" s="1098">
        <f>Application!G718</f>
        <v>20</v>
      </c>
      <c r="N20" s="1106">
        <f>Application!AC718</f>
        <v>0.3</v>
      </c>
      <c r="O20" s="1106">
        <f>IF(Cdlac[[#This Row],[Quantity]]&gt;0,IF(Cdlac[[#This Row],[Federal]],30%,IF($G$36,40%,Cdlac[[#This Row],[iAMI]])),"")</f>
        <v>0.3</v>
      </c>
      <c r="P20" s="1098" cm="1">
        <f t="array" ref="P20">IF(Cdlac[[#This Row],[Quantity]]&gt;0,INDEX(TcacRents,$P$18,Cdlac[[#This Row],[Bedrooms]]+1)*Cdlac[[#This Row],[AMI]],"")</f>
        <v>709.19999999999993</v>
      </c>
      <c r="Q20" s="1098" cm="1">
        <f t="array" ref="Q20">IF(Cdlac[[#This Row],[Quantity]]&gt;0,INDEX(HudFmrs,$P$18,Cdlac[[#This Row],[Bedrooms]]+1),"")</f>
        <v>1747</v>
      </c>
      <c r="R20" s="1098">
        <f>IF(Cdlac[[#This Row],[Quantity]]&gt;0,MAX(0,Cdlac[[#This Row],[Fair Market Rent]]-Cdlac[[#This Row],[Restricted Rent]]),"")</f>
        <v>1037.8000000000002</v>
      </c>
      <c r="S20" s="1076">
        <f>IF(Cdlac[[#This Row],[Quantity]]&gt;0,AND(Application!AK718&lt;&gt;"N/A",Application!AK718&lt;&gt;"")*Cdlac[[#This Row],[Quantity]],"")</f>
        <v>0</v>
      </c>
      <c r="T20" s="1076" t="b">
        <f>AND('Subsidy Contract Calculation'!F4&gt;0,'Subsidy Contract Calculation'!C4="Federal",Cdlac[[#This Row],[Quantity]]&gt;0)</f>
        <v>0</v>
      </c>
    </row>
    <row r="21" spans="1:20" ht="15" customHeight="1">
      <c r="A21" s="1081"/>
      <c r="C21" s="2139"/>
      <c r="D21" s="2139"/>
      <c r="E21" s="2139"/>
      <c r="F21" s="2139"/>
      <c r="G21" s="2139"/>
      <c r="H21" s="1105"/>
      <c r="I21" s="1104"/>
      <c r="L21" s="1076">
        <f>IFERROR(MIN(4,MATCH(Application!B719,UnitSizes,0)-1),"")</f>
        <v>1</v>
      </c>
      <c r="M21" s="1098">
        <f>Application!G719</f>
        <v>6</v>
      </c>
      <c r="N21" s="1106">
        <f>Application!AC719</f>
        <v>0.5</v>
      </c>
      <c r="O21" s="1106">
        <f>IF(Cdlac[[#This Row],[Quantity]]&gt;0,IF(Cdlac[[#This Row],[Federal]],30%,IF($G$36,40%,Cdlac[[#This Row],[iAMI]])),"")</f>
        <v>0.5</v>
      </c>
      <c r="P21" s="1098" cm="1">
        <f t="array" ref="P21">IF(Cdlac[[#This Row],[Quantity]]&gt;0,INDEX(TcacRents,$P$18,Cdlac[[#This Row],[Bedrooms]]+1)*Cdlac[[#This Row],[AMI]],"")</f>
        <v>1182</v>
      </c>
      <c r="Q21" s="1098" cm="1">
        <f t="array" ref="Q21">IF(Cdlac[[#This Row],[Quantity]]&gt;0,INDEX(HudFmrs,$P$18,Cdlac[[#This Row],[Bedrooms]]+1),"")</f>
        <v>1747</v>
      </c>
      <c r="R21" s="1098">
        <f>IF(Cdlac[[#This Row],[Quantity]]&gt;0,MAX(0,Cdlac[[#This Row],[Fair Market Rent]]-Cdlac[[#This Row],[Restricted Rent]]),"")</f>
        <v>565</v>
      </c>
      <c r="S21" s="1076">
        <f>IF(Cdlac[[#This Row],[Quantity]]&gt;0,AND(Application!AK719&lt;&gt;"N/A",Application!AK719&lt;&gt;"")*Cdlac[[#This Row],[Quantity]],"")</f>
        <v>0</v>
      </c>
      <c r="T21" s="1076" t="b">
        <f>AND('Subsidy Contract Calculation'!F5&gt;0,'Subsidy Contract Calculation'!C5="Federal",Cdlac[[#This Row],[Quantity]]&gt;0)</f>
        <v>0</v>
      </c>
    </row>
    <row r="22" spans="1:20" ht="15" customHeight="1">
      <c r="C22" s="1107">
        <v>0</v>
      </c>
      <c r="D22" s="1108">
        <v>0.9</v>
      </c>
      <c r="E22" s="1107">
        <f>SUMIFS(Cdlac[Quantity],Cdlac[Bedrooms],C22)</f>
        <v>0</v>
      </c>
      <c r="F22" s="1107">
        <f>E22</f>
        <v>0</v>
      </c>
      <c r="G22" s="1107">
        <f>D22*F22</f>
        <v>0</v>
      </c>
      <c r="L22" s="1076">
        <f>IFERROR(MIN(4,MATCH(Application!B720,UnitSizes,0)-1),"")</f>
        <v>1</v>
      </c>
      <c r="M22" s="1098">
        <f>Application!G720</f>
        <v>42</v>
      </c>
      <c r="N22" s="1106">
        <f>Application!AC720</f>
        <v>0.6</v>
      </c>
      <c r="O22" s="1106">
        <f>IF(Cdlac[[#This Row],[Quantity]]&gt;0,IF(Cdlac[[#This Row],[Federal]],30%,IF($G$36,40%,Cdlac[[#This Row],[iAMI]])),"")</f>
        <v>0.6</v>
      </c>
      <c r="P22" s="1098" cm="1">
        <f t="array" ref="P22">IF(Cdlac[[#This Row],[Quantity]]&gt;0,INDEX(TcacRents,$P$18,Cdlac[[#This Row],[Bedrooms]]+1)*Cdlac[[#This Row],[AMI]],"")</f>
        <v>1418.3999999999999</v>
      </c>
      <c r="Q22" s="1098" cm="1">
        <f t="array" ref="Q22">IF(Cdlac[[#This Row],[Quantity]]&gt;0,INDEX(HudFmrs,$P$18,Cdlac[[#This Row],[Bedrooms]]+1),"")</f>
        <v>1747</v>
      </c>
      <c r="R22" s="1098">
        <f>IF(Cdlac[[#This Row],[Quantity]]&gt;0,MAX(0,Cdlac[[#This Row],[Fair Market Rent]]-Cdlac[[#This Row],[Restricted Rent]]),"")</f>
        <v>328.60000000000014</v>
      </c>
      <c r="S22" s="1076">
        <f>IF(Cdlac[[#This Row],[Quantity]]&gt;0,AND(Application!AK720&lt;&gt;"N/A",Application!AK720&lt;&gt;"")*Cdlac[[#This Row],[Quantity]],"")</f>
        <v>0</v>
      </c>
      <c r="T22" s="1076" t="b">
        <f>AND('Subsidy Contract Calculation'!F6&gt;0,'Subsidy Contract Calculation'!C6="Federal",Cdlac[[#This Row],[Quantity]]&gt;0)</f>
        <v>0</v>
      </c>
    </row>
    <row r="23" spans="1:20" ht="15" customHeight="1">
      <c r="C23" s="1107">
        <v>1</v>
      </c>
      <c r="D23" s="1108">
        <v>1</v>
      </c>
      <c r="E23" s="1107">
        <f>SUMIFS(Cdlac[Quantity],Cdlac[Bedrooms],C23)</f>
        <v>76</v>
      </c>
      <c r="F23" s="1107">
        <f>E23</f>
        <v>76</v>
      </c>
      <c r="G23" s="1107">
        <f>D23*F23</f>
        <v>76</v>
      </c>
      <c r="L23" s="1076">
        <f>IFERROR(MIN(4,MATCH(Application!B721,UnitSizes,0)-1),"")</f>
        <v>1</v>
      </c>
      <c r="M23" s="1098">
        <f>Application!G721</f>
        <v>8</v>
      </c>
      <c r="N23" s="1106">
        <f>Application!AC721</f>
        <v>0.7</v>
      </c>
      <c r="O23" s="1106">
        <f>IF(Cdlac[[#This Row],[Quantity]]&gt;0,IF(Cdlac[[#This Row],[Federal]],30%,IF($G$36,40%,Cdlac[[#This Row],[iAMI]])),"")</f>
        <v>0.7</v>
      </c>
      <c r="P23" s="1098" cm="1">
        <f t="array" ref="P23">IF(Cdlac[[#This Row],[Quantity]]&gt;0,INDEX(TcacRents,$P$18,Cdlac[[#This Row],[Bedrooms]]+1)*Cdlac[[#This Row],[AMI]],"")</f>
        <v>1654.8</v>
      </c>
      <c r="Q23" s="1098" cm="1">
        <f t="array" ref="Q23">IF(Cdlac[[#This Row],[Quantity]]&gt;0,INDEX(HudFmrs,$P$18,Cdlac[[#This Row],[Bedrooms]]+1),"")</f>
        <v>1747</v>
      </c>
      <c r="R23" s="1098">
        <f>IF(Cdlac[[#This Row],[Quantity]]&gt;0,MAX(0,Cdlac[[#This Row],[Fair Market Rent]]-Cdlac[[#This Row],[Restricted Rent]]),"")</f>
        <v>92.200000000000045</v>
      </c>
      <c r="S23" s="1076">
        <f>IF(Cdlac[[#This Row],[Quantity]]&gt;0,AND(Application!AK721&lt;&gt;"N/A",Application!AK721&lt;&gt;"")*Cdlac[[#This Row],[Quantity]],"")</f>
        <v>0</v>
      </c>
      <c r="T23" s="1076" t="b">
        <f>AND('Subsidy Contract Calculation'!F7&gt;0,'Subsidy Contract Calculation'!C7="Federal",Cdlac[[#This Row],[Quantity]]&gt;0)</f>
        <v>0</v>
      </c>
    </row>
    <row r="24" spans="1:20" ht="15" customHeight="1">
      <c r="A24" s="1109"/>
      <c r="C24" s="1110">
        <v>2</v>
      </c>
      <c r="D24" s="1108">
        <v>1.25</v>
      </c>
      <c r="E24" s="1107">
        <f>SUMIFS(Cdlac[Quantity],Cdlac[Bedrooms],C24)</f>
        <v>42</v>
      </c>
      <c r="F24" s="1110">
        <f>SUM(E24:E26)-SUM(F25:F26)</f>
        <v>42</v>
      </c>
      <c r="G24" s="1107">
        <f>D24*F24</f>
        <v>52.5</v>
      </c>
      <c r="H24" s="1109"/>
      <c r="I24" s="1109"/>
      <c r="L24" s="1076">
        <f>IFERROR(MIN(4,MATCH(Application!B722,UnitSizes,0)-1),"")</f>
        <v>2</v>
      </c>
      <c r="M24" s="1098">
        <f>Application!G722</f>
        <v>10</v>
      </c>
      <c r="N24" s="1106">
        <f>Application!AC722</f>
        <v>0.3</v>
      </c>
      <c r="O24" s="1106">
        <f>IF(Cdlac[[#This Row],[Quantity]]&gt;0,IF(Cdlac[[#This Row],[Federal]],30%,IF($G$36,40%,Cdlac[[#This Row],[iAMI]])),"")</f>
        <v>0.3</v>
      </c>
      <c r="P24" s="1098" cm="1">
        <f t="array" ref="P24">IF(Cdlac[[#This Row],[Quantity]]&gt;0,INDEX(TcacRents,$P$18,Cdlac[[#This Row],[Bedrooms]]+1)*Cdlac[[#This Row],[AMI]],"")</f>
        <v>850.8</v>
      </c>
      <c r="Q24" s="1098" cm="1">
        <f t="array" ref="Q24">IF(Cdlac[[#This Row],[Quantity]]&gt;0,INDEX(HudFmrs,$P$18,Cdlac[[#This Row],[Bedrooms]]+1),"")</f>
        <v>2222</v>
      </c>
      <c r="R24" s="1098">
        <f>IF(Cdlac[[#This Row],[Quantity]]&gt;0,MAX(0,Cdlac[[#This Row],[Fair Market Rent]]-Cdlac[[#This Row],[Restricted Rent]]),"")</f>
        <v>1371.2</v>
      </c>
      <c r="S24" s="1076">
        <f>IF(Cdlac[[#This Row],[Quantity]]&gt;0,AND(Application!AK722&lt;&gt;"N/A",Application!AK722&lt;&gt;"")*Cdlac[[#This Row],[Quantity]],"")</f>
        <v>0</v>
      </c>
      <c r="T24" s="1076" t="b">
        <f>AND('Subsidy Contract Calculation'!F8&gt;0,'Subsidy Contract Calculation'!C8="Federal",Cdlac[[#This Row],[Quantity]]&gt;0)</f>
        <v>0</v>
      </c>
    </row>
    <row r="25" spans="1:20" ht="15" customHeight="1">
      <c r="A25" s="1109"/>
      <c r="C25" s="1110">
        <v>3</v>
      </c>
      <c r="D25" s="1108">
        <f>1.5+0.25*0</f>
        <v>1.5</v>
      </c>
      <c r="E25" s="1107">
        <f>SUMIFS(Cdlac[Quantity],Cdlac[Bedrooms],C25)</f>
        <v>40</v>
      </c>
      <c r="F25" s="1110">
        <f>MIN(E25,ROUNDDOWN(E27*30%,0))</f>
        <v>40</v>
      </c>
      <c r="G25" s="1107">
        <f>D25*F25</f>
        <v>60</v>
      </c>
      <c r="H25" s="1109"/>
      <c r="I25" s="1109"/>
      <c r="L25" s="1076">
        <f>IFERROR(MIN(4,MATCH(Application!B723,UnitSizes,0)-1),"")</f>
        <v>2</v>
      </c>
      <c r="M25" s="1098">
        <f>Application!G723</f>
        <v>3</v>
      </c>
      <c r="N25" s="1106">
        <f>Application!AC723</f>
        <v>0.5</v>
      </c>
      <c r="O25" s="1106">
        <f>IF(Cdlac[[#This Row],[Quantity]]&gt;0,IF(Cdlac[[#This Row],[Federal]],30%,IF($G$36,40%,Cdlac[[#This Row],[iAMI]])),"")</f>
        <v>0.5</v>
      </c>
      <c r="P25" s="1098" cm="1">
        <f t="array" ref="P25">IF(Cdlac[[#This Row],[Quantity]]&gt;0,INDEX(TcacRents,$P$18,Cdlac[[#This Row],[Bedrooms]]+1)*Cdlac[[#This Row],[AMI]],"")</f>
        <v>1418</v>
      </c>
      <c r="Q25" s="1098" cm="1">
        <f t="array" ref="Q25">IF(Cdlac[[#This Row],[Quantity]]&gt;0,INDEX(HudFmrs,$P$18,Cdlac[[#This Row],[Bedrooms]]+1),"")</f>
        <v>2222</v>
      </c>
      <c r="R25" s="1098">
        <f>IF(Cdlac[[#This Row],[Quantity]]&gt;0,MAX(0,Cdlac[[#This Row],[Fair Market Rent]]-Cdlac[[#This Row],[Restricted Rent]]),"")</f>
        <v>804</v>
      </c>
      <c r="S25" s="1076">
        <f>IF(Cdlac[[#This Row],[Quantity]]&gt;0,AND(Application!AK723&lt;&gt;"N/A",Application!AK723&lt;&gt;"")*Cdlac[[#This Row],[Quantity]],"")</f>
        <v>0</v>
      </c>
      <c r="T25" s="1076" t="b">
        <f>AND('Subsidy Contract Calculation'!F9&gt;0,'Subsidy Contract Calculation'!C9="Federal",Cdlac[[#This Row],[Quantity]]&gt;0)</f>
        <v>0</v>
      </c>
    </row>
    <row r="26" spans="1:20" ht="15" customHeight="1" thickBot="1">
      <c r="A26" s="1109"/>
      <c r="C26" s="1123">
        <v>4</v>
      </c>
      <c r="D26" s="1124">
        <f>1.75+0.25*0</f>
        <v>1.75</v>
      </c>
      <c r="E26" s="1125">
        <f>SUMIFS(Cdlac[Quantity],Cdlac[Bedrooms],C26)</f>
        <v>0</v>
      </c>
      <c r="F26" s="1123">
        <f>MIN(E26,ROUNDDOWN(E27*10%,0))</f>
        <v>0</v>
      </c>
      <c r="G26" s="1125">
        <f>D26*F26</f>
        <v>0</v>
      </c>
      <c r="H26" s="1109"/>
      <c r="I26" s="1109"/>
      <c r="L26" s="1076">
        <f>IFERROR(MIN(4,MATCH(Application!B724,UnitSizes,0)-1),"")</f>
        <v>2</v>
      </c>
      <c r="M26" s="1098">
        <f>Application!G724</f>
        <v>25</v>
      </c>
      <c r="N26" s="1106">
        <f>Application!AC724</f>
        <v>0.6</v>
      </c>
      <c r="O26" s="1106">
        <f>IF(Cdlac[[#This Row],[Quantity]]&gt;0,IF(Cdlac[[#This Row],[Federal]],30%,IF($G$36,40%,Cdlac[[#This Row],[iAMI]])),"")</f>
        <v>0.6</v>
      </c>
      <c r="P26" s="1098" cm="1">
        <f t="array" ref="P26">IF(Cdlac[[#This Row],[Quantity]]&gt;0,INDEX(TcacRents,$P$18,Cdlac[[#This Row],[Bedrooms]]+1)*Cdlac[[#This Row],[AMI]],"")</f>
        <v>1701.6</v>
      </c>
      <c r="Q26" s="1098" cm="1">
        <f t="array" ref="Q26">IF(Cdlac[[#This Row],[Quantity]]&gt;0,INDEX(HudFmrs,$P$18,Cdlac[[#This Row],[Bedrooms]]+1),"")</f>
        <v>2222</v>
      </c>
      <c r="R26" s="1098">
        <f>IF(Cdlac[[#This Row],[Quantity]]&gt;0,MAX(0,Cdlac[[#This Row],[Fair Market Rent]]-Cdlac[[#This Row],[Restricted Rent]]),"")</f>
        <v>520.40000000000009</v>
      </c>
      <c r="S26" s="1076">
        <f>IF(Cdlac[[#This Row],[Quantity]]&gt;0,AND(Application!AK724&lt;&gt;"N/A",Application!AK724&lt;&gt;"")*Cdlac[[#This Row],[Quantity]],"")</f>
        <v>0</v>
      </c>
      <c r="T26" s="1076" t="b">
        <f>AND('Subsidy Contract Calculation'!F10&gt;0,'Subsidy Contract Calculation'!C10="Federal",Cdlac[[#This Row],[Quantity]]&gt;0)</f>
        <v>0</v>
      </c>
    </row>
    <row r="27" spans="1:20" ht="15" customHeight="1">
      <c r="A27" s="1109"/>
      <c r="C27" s="2154" t="s">
        <v>1696</v>
      </c>
      <c r="D27" s="2155"/>
      <c r="E27" s="1126">
        <f>SUM(E22:E26)</f>
        <v>158</v>
      </c>
      <c r="F27" s="1126">
        <f>SUM(F22:F26)</f>
        <v>158</v>
      </c>
      <c r="G27" s="1127">
        <f>SUMPRODUCT(D22:D26,F22:F26)</f>
        <v>188.5</v>
      </c>
      <c r="H27" s="1109"/>
      <c r="I27" s="1109"/>
      <c r="L27" s="1076">
        <f>IFERROR(MIN(4,MATCH(Application!B725,UnitSizes,0)-1),"")</f>
        <v>2</v>
      </c>
      <c r="M27" s="1098">
        <f>Application!G725</f>
        <v>4</v>
      </c>
      <c r="N27" s="1106">
        <f>Application!AC725</f>
        <v>0.7</v>
      </c>
      <c r="O27" s="1106">
        <f>IF(Cdlac[[#This Row],[Quantity]]&gt;0,IF(Cdlac[[#This Row],[Federal]],30%,IF($G$36,40%,Cdlac[[#This Row],[iAMI]])),"")</f>
        <v>0.7</v>
      </c>
      <c r="P27" s="1098" cm="1">
        <f t="array" ref="P27">IF(Cdlac[[#This Row],[Quantity]]&gt;0,INDEX(TcacRents,$P$18,Cdlac[[#This Row],[Bedrooms]]+1)*Cdlac[[#This Row],[AMI]],"")</f>
        <v>1985.1999999999998</v>
      </c>
      <c r="Q27" s="1098" cm="1">
        <f t="array" ref="Q27">IF(Cdlac[[#This Row],[Quantity]]&gt;0,INDEX(HudFmrs,$P$18,Cdlac[[#This Row],[Bedrooms]]+1),"")</f>
        <v>2222</v>
      </c>
      <c r="R27" s="1098">
        <f>IF(Cdlac[[#This Row],[Quantity]]&gt;0,MAX(0,Cdlac[[#This Row],[Fair Market Rent]]-Cdlac[[#This Row],[Restricted Rent]]),"")</f>
        <v>236.80000000000018</v>
      </c>
      <c r="S27" s="1076">
        <f>IF(Cdlac[[#This Row],[Quantity]]&gt;0,AND(Application!AK725&lt;&gt;"N/A",Application!AK725&lt;&gt;"")*Cdlac[[#This Row],[Quantity]],"")</f>
        <v>0</v>
      </c>
      <c r="T27" s="1076" t="b">
        <f>AND('Subsidy Contract Calculation'!F11&gt;0,'Subsidy Contract Calculation'!C11="Federal",Cdlac[[#This Row],[Quantity]]&gt;0)</f>
        <v>0</v>
      </c>
    </row>
    <row r="28" spans="1:20" ht="15" customHeight="1">
      <c r="A28" s="1109"/>
      <c r="C28" s="1109"/>
      <c r="D28" s="1109"/>
      <c r="E28" s="1109"/>
      <c r="F28" s="1109"/>
      <c r="G28" s="1109"/>
      <c r="H28" s="1109"/>
      <c r="I28" s="1109"/>
      <c r="L28" s="1076">
        <f>IFERROR(MIN(4,MATCH(Application!B726,UnitSizes,0)-1),"")</f>
        <v>3</v>
      </c>
      <c r="M28" s="1098">
        <f>Application!G726</f>
        <v>10</v>
      </c>
      <c r="N28" s="1106">
        <f>Application!AC726</f>
        <v>0.3</v>
      </c>
      <c r="O28" s="1106">
        <f>IF(Cdlac[[#This Row],[Quantity]]&gt;0,IF(Cdlac[[#This Row],[Federal]],30%,IF($G$36,40%,Cdlac[[#This Row],[iAMI]])),"")</f>
        <v>0.3</v>
      </c>
      <c r="P28" s="1098" cm="1">
        <f t="array" ref="P28">IF(Cdlac[[#This Row],[Quantity]]&gt;0,INDEX(TcacRents,$P$18,Cdlac[[#This Row],[Bedrooms]]+1)*Cdlac[[#This Row],[AMI]],"")</f>
        <v>983.4</v>
      </c>
      <c r="Q28" s="1098" cm="1">
        <f t="array" ref="Q28">IF(Cdlac[[#This Row],[Quantity]]&gt;0,INDEX(HudFmrs,$P$18,Cdlac[[#This Row],[Bedrooms]]+1),"")</f>
        <v>2888</v>
      </c>
      <c r="R28" s="1098">
        <f>IF(Cdlac[[#This Row],[Quantity]]&gt;0,MAX(0,Cdlac[[#This Row],[Fair Market Rent]]-Cdlac[[#This Row],[Restricted Rent]]),"")</f>
        <v>1904.6</v>
      </c>
      <c r="S28" s="1076">
        <f>IF(Cdlac[[#This Row],[Quantity]]&gt;0,AND(Application!AK726&lt;&gt;"N/A",Application!AK726&lt;&gt;"")*Cdlac[[#This Row],[Quantity]],"")</f>
        <v>0</v>
      </c>
      <c r="T28" s="1076" t="b">
        <f>AND('Subsidy Contract Calculation'!F12&gt;0,'Subsidy Contract Calculation'!C12="Federal",Cdlac[[#This Row],[Quantity]]&gt;0)</f>
        <v>0</v>
      </c>
    </row>
    <row r="29" spans="1:20" ht="15" customHeight="1">
      <c r="A29" s="1109"/>
      <c r="E29" s="1156" t="s">
        <v>2284</v>
      </c>
      <c r="G29" s="1153">
        <f>G27</f>
        <v>188.5</v>
      </c>
      <c r="H29" s="1109"/>
      <c r="I29" s="1109"/>
      <c r="L29" s="1076">
        <f>IFERROR(MIN(4,MATCH(Application!B727,UnitSizes,0)-1),"")</f>
        <v>3</v>
      </c>
      <c r="M29" s="1098">
        <f>Application!G727</f>
        <v>3</v>
      </c>
      <c r="N29" s="1106">
        <f>Application!AC727</f>
        <v>0.5</v>
      </c>
      <c r="O29" s="1106">
        <f>IF(Cdlac[[#This Row],[Quantity]]&gt;0,IF(Cdlac[[#This Row],[Federal]],30%,IF($G$36,40%,Cdlac[[#This Row],[iAMI]])),"")</f>
        <v>0.5</v>
      </c>
      <c r="P29" s="1098" cm="1">
        <f t="array" ref="P29">IF(Cdlac[[#This Row],[Quantity]]&gt;0,INDEX(TcacRents,$P$18,Cdlac[[#This Row],[Bedrooms]]+1)*Cdlac[[#This Row],[AMI]],"")</f>
        <v>1639</v>
      </c>
      <c r="Q29" s="1098" cm="1">
        <f t="array" ref="Q29">IF(Cdlac[[#This Row],[Quantity]]&gt;0,INDEX(HudFmrs,$P$18,Cdlac[[#This Row],[Bedrooms]]+1),"")</f>
        <v>2888</v>
      </c>
      <c r="R29" s="1098">
        <f>IF(Cdlac[[#This Row],[Quantity]]&gt;0,MAX(0,Cdlac[[#This Row],[Fair Market Rent]]-Cdlac[[#This Row],[Restricted Rent]]),"")</f>
        <v>1249</v>
      </c>
      <c r="S29" s="1076">
        <f>IF(Cdlac[[#This Row],[Quantity]]&gt;0,AND(Application!AK727&lt;&gt;"N/A",Application!AK727&lt;&gt;"")*Cdlac[[#This Row],[Quantity]],"")</f>
        <v>0</v>
      </c>
      <c r="T29" s="1076" t="b">
        <f>AND('Subsidy Contract Calculation'!F13&gt;0,'Subsidy Contract Calculation'!C13="Federal",Cdlac[[#This Row],[Quantity]]&gt;0)</f>
        <v>0</v>
      </c>
    </row>
    <row r="30" spans="1:20" ht="15" customHeight="1">
      <c r="A30" s="1109"/>
      <c r="E30" s="1156" t="s">
        <v>2236</v>
      </c>
      <c r="F30" s="1152" t="s">
        <v>2293</v>
      </c>
      <c r="G30" s="1154">
        <v>50000</v>
      </c>
      <c r="H30" s="1109"/>
      <c r="I30" s="1109"/>
      <c r="L30" s="1076">
        <f>IFERROR(MIN(4,MATCH(Application!B728,UnitSizes,0)-1),"")</f>
        <v>3</v>
      </c>
      <c r="M30" s="1098">
        <f>Application!G728</f>
        <v>23</v>
      </c>
      <c r="N30" s="1106">
        <f>Application!AC728</f>
        <v>0.6</v>
      </c>
      <c r="O30" s="1106">
        <f>IF(Cdlac[[#This Row],[Quantity]]&gt;0,IF(Cdlac[[#This Row],[Federal]],30%,IF($G$36,40%,Cdlac[[#This Row],[iAMI]])),"")</f>
        <v>0.6</v>
      </c>
      <c r="P30" s="1098" cm="1">
        <f t="array" ref="P30">IF(Cdlac[[#This Row],[Quantity]]&gt;0,INDEX(TcacRents,$P$18,Cdlac[[#This Row],[Bedrooms]]+1)*Cdlac[[#This Row],[AMI]],"")</f>
        <v>1966.8</v>
      </c>
      <c r="Q30" s="1098" cm="1">
        <f t="array" ref="Q30">IF(Cdlac[[#This Row],[Quantity]]&gt;0,INDEX(HudFmrs,$P$18,Cdlac[[#This Row],[Bedrooms]]+1),"")</f>
        <v>2888</v>
      </c>
      <c r="R30" s="1098">
        <f>IF(Cdlac[[#This Row],[Quantity]]&gt;0,MAX(0,Cdlac[[#This Row],[Fair Market Rent]]-Cdlac[[#This Row],[Restricted Rent]]),"")</f>
        <v>921.2</v>
      </c>
      <c r="S30" s="1076">
        <f>IF(Cdlac[[#This Row],[Quantity]]&gt;0,AND(Application!AK728&lt;&gt;"N/A",Application!AK728&lt;&gt;"")*Cdlac[[#This Row],[Quantity]],"")</f>
        <v>0</v>
      </c>
      <c r="T30" s="1076" t="b">
        <f>AND('Subsidy Contract Calculation'!F14&gt;0,'Subsidy Contract Calculation'!C14="Federal",Cdlac[[#This Row],[Quantity]]&gt;0)</f>
        <v>0</v>
      </c>
    </row>
    <row r="31" spans="1:20" ht="15" customHeight="1">
      <c r="A31" s="1109"/>
      <c r="E31" s="1157" t="s">
        <v>2277</v>
      </c>
      <c r="F31" s="1078"/>
      <c r="G31" s="1158">
        <f>G30*G29</f>
        <v>9425000</v>
      </c>
      <c r="H31" s="1109"/>
      <c r="I31" s="1109"/>
      <c r="L31" s="1076">
        <f>IFERROR(MIN(4,MATCH(Application!B729,UnitSizes,0)-1),"")</f>
        <v>3</v>
      </c>
      <c r="M31" s="1098">
        <f>Application!G729</f>
        <v>4</v>
      </c>
      <c r="N31" s="1106">
        <f>Application!AC729</f>
        <v>0.7</v>
      </c>
      <c r="O31" s="1106">
        <f>IF(Cdlac[[#This Row],[Quantity]]&gt;0,IF(Cdlac[[#This Row],[Federal]],30%,IF($G$36,40%,Cdlac[[#This Row],[iAMI]])),"")</f>
        <v>0.7</v>
      </c>
      <c r="P31" s="1098" cm="1">
        <f t="array" ref="P31">IF(Cdlac[[#This Row],[Quantity]]&gt;0,INDEX(TcacRents,$P$18,Cdlac[[#This Row],[Bedrooms]]+1)*Cdlac[[#This Row],[AMI]],"")</f>
        <v>2294.6</v>
      </c>
      <c r="Q31" s="1098" cm="1">
        <f t="array" ref="Q31">IF(Cdlac[[#This Row],[Quantity]]&gt;0,INDEX(HudFmrs,$P$18,Cdlac[[#This Row],[Bedrooms]]+1),"")</f>
        <v>2888</v>
      </c>
      <c r="R31" s="1098">
        <f>IF(Cdlac[[#This Row],[Quantity]]&gt;0,MAX(0,Cdlac[[#This Row],[Fair Market Rent]]-Cdlac[[#This Row],[Restricted Rent]]),"")</f>
        <v>593.40000000000009</v>
      </c>
      <c r="S31" s="1076">
        <f>IF(Cdlac[[#This Row],[Quantity]]&gt;0,AND(Application!AK729&lt;&gt;"N/A",Application!AK729&lt;&gt;"")*Cdlac[[#This Row],[Quantity]],"")</f>
        <v>0</v>
      </c>
      <c r="T31" s="1076" t="b">
        <f>AND('Subsidy Contract Calculation'!F15&gt;0,'Subsidy Contract Calculation'!C15="Federal",Cdlac[[#This Row],[Quantity]]&gt;0)</f>
        <v>0</v>
      </c>
    </row>
    <row r="32" spans="1:20" ht="15" customHeight="1">
      <c r="A32" s="1109"/>
      <c r="B32" s="1109"/>
      <c r="C32" s="1109"/>
      <c r="D32" s="1109"/>
      <c r="E32" s="1109"/>
      <c r="F32" s="1109"/>
      <c r="G32" s="1109"/>
      <c r="H32" s="1109"/>
      <c r="I32" s="1109"/>
      <c r="L32" s="1076" t="str">
        <f>IFERROR(MIN(4,MATCH(Application!B730,UnitSizes,0)-1),"")</f>
        <v/>
      </c>
      <c r="M32" s="1098">
        <f>Application!G730</f>
        <v>0</v>
      </c>
      <c r="N32" s="1106">
        <f>Application!AC730</f>
        <v>0</v>
      </c>
      <c r="O32" s="1106" t="str">
        <f>IF(Cdlac[[#This Row],[Quantity]]&gt;0,IF(Cdlac[[#This Row],[Federal]],30%,IF($G$36,40%,Cdlac[[#This Row],[iAMI]])),"")</f>
        <v/>
      </c>
      <c r="P32" s="1098" t="str" cm="1">
        <f t="array" ref="P32">IF(Cdlac[[#This Row],[Quantity]]&gt;0,INDEX(TcacRents,$P$18,Cdlac[[#This Row],[Bedrooms]]+1)*Cdlac[[#This Row],[AMI]],"")</f>
        <v/>
      </c>
      <c r="Q32" s="1098" t="str" cm="1">
        <f t="array" ref="Q32">IF(Cdlac[[#This Row],[Quantity]]&gt;0,INDEX(HudFmrs,$P$18,Cdlac[[#This Row],[Bedrooms]]+1),"")</f>
        <v/>
      </c>
      <c r="R32" s="1098" t="str">
        <f>IF(Cdlac[[#This Row],[Quantity]]&gt;0,MAX(0,Cdlac[[#This Row],[Fair Market Rent]]-Cdlac[[#This Row],[Restricted Rent]]),"")</f>
        <v/>
      </c>
      <c r="S32" s="1076" t="str">
        <f>IF(Cdlac[[#This Row],[Quantity]]&gt;0,AND(Application!AK730&lt;&gt;"N/A",Application!AK730&lt;&gt;"")*Cdlac[[#This Row],[Quantity]],"")</f>
        <v/>
      </c>
      <c r="T32" s="1076" t="b">
        <f>AND('Subsidy Contract Calculation'!F16&gt;0,'Subsidy Contract Calculation'!C16="Federal",Cdlac[[#This Row],[Quantity]]&gt;0)</f>
        <v>0</v>
      </c>
    </row>
    <row r="33" spans="2:20" ht="15" customHeight="1">
      <c r="B33" s="1101" t="str">
        <f>B10</f>
        <v>B. Rent Savings Benefit</v>
      </c>
      <c r="C33" s="1102"/>
      <c r="D33" s="1102"/>
      <c r="E33" s="1102"/>
      <c r="F33" s="1102"/>
      <c r="G33" s="1102"/>
      <c r="H33" s="1102"/>
      <c r="I33" s="1103"/>
      <c r="L33" s="1076" t="str">
        <f>IFERROR(MIN(4,MATCH(Application!B731,UnitSizes,0)-1),"")</f>
        <v/>
      </c>
      <c r="M33" s="1098">
        <f>Application!G731</f>
        <v>0</v>
      </c>
      <c r="N33" s="1106">
        <f>Application!AC731</f>
        <v>0</v>
      </c>
      <c r="O33" s="1106" t="str">
        <f>IF(Cdlac[[#This Row],[Quantity]]&gt;0,IF(Cdlac[[#This Row],[Federal]],30%,IF($G$36,40%,Cdlac[[#This Row],[iAMI]])),"")</f>
        <v/>
      </c>
      <c r="P33" s="1098" t="str" cm="1">
        <f t="array" ref="P33">IF(Cdlac[[#This Row],[Quantity]]&gt;0,INDEX(TcacRents,$P$18,Cdlac[[#This Row],[Bedrooms]]+1)*Cdlac[[#This Row],[AMI]],"")</f>
        <v/>
      </c>
      <c r="Q33" s="1098" t="str" cm="1">
        <f t="array" ref="Q33">IF(Cdlac[[#This Row],[Quantity]]&gt;0,INDEX(HudFmrs,$P$18,Cdlac[[#This Row],[Bedrooms]]+1),"")</f>
        <v/>
      </c>
      <c r="R33" s="1098" t="str">
        <f>IF(Cdlac[[#This Row],[Quantity]]&gt;0,MAX(0,Cdlac[[#This Row],[Fair Market Rent]]-Cdlac[[#This Row],[Restricted Rent]]),"")</f>
        <v/>
      </c>
      <c r="S33" s="1076" t="str">
        <f>IF(Cdlac[[#This Row],[Quantity]]&gt;0,AND(Application!AK731&lt;&gt;"N/A",Application!AK731&lt;&gt;"")*Cdlac[[#This Row],[Quantity]],"")</f>
        <v/>
      </c>
      <c r="T33" s="1076" t="b">
        <f>AND('Subsidy Contract Calculation'!F17&gt;0,'Subsidy Contract Calculation'!C17="Federal",Cdlac[[#This Row],[Quantity]]&gt;0)</f>
        <v>0</v>
      </c>
    </row>
    <row r="34" spans="2:20" ht="15" customHeight="1">
      <c r="L34" s="1076" t="str">
        <f>IFERROR(MIN(4,MATCH(Application!B732,UnitSizes,0)-1),"")</f>
        <v/>
      </c>
      <c r="M34" s="1098">
        <f>Application!G732</f>
        <v>0</v>
      </c>
      <c r="N34" s="1106">
        <f>Application!AC732</f>
        <v>0</v>
      </c>
      <c r="O34" s="1106" t="str">
        <f>IF(Cdlac[[#This Row],[Quantity]]&gt;0,IF(Cdlac[[#This Row],[Federal]],30%,IF($G$36,40%,Cdlac[[#This Row],[iAMI]])),"")</f>
        <v/>
      </c>
      <c r="P34" s="1098" t="str" cm="1">
        <f t="array" ref="P34">IF(Cdlac[[#This Row],[Quantity]]&gt;0,INDEX(TcacRents,$P$18,Cdlac[[#This Row],[Bedrooms]]+1)*Cdlac[[#This Row],[AMI]],"")</f>
        <v/>
      </c>
      <c r="Q34" s="1098" t="str" cm="1">
        <f t="array" ref="Q34">IF(Cdlac[[#This Row],[Quantity]]&gt;0,INDEX(HudFmrs,$P$18,Cdlac[[#This Row],[Bedrooms]]+1),"")</f>
        <v/>
      </c>
      <c r="R34" s="1098" t="str">
        <f>IF(Cdlac[[#This Row],[Quantity]]&gt;0,MAX(0,Cdlac[[#This Row],[Fair Market Rent]]-Cdlac[[#This Row],[Restricted Rent]]),"")</f>
        <v/>
      </c>
      <c r="S34" s="1076" t="str">
        <f>IF(Cdlac[[#This Row],[Quantity]]&gt;0,AND(Application!AK732&lt;&gt;"N/A",Application!AK732&lt;&gt;"")*Cdlac[[#This Row],[Quantity]],"")</f>
        <v/>
      </c>
      <c r="T34" s="1076" t="b">
        <f>AND('Subsidy Contract Calculation'!F18&gt;0,'Subsidy Contract Calculation'!C18="Federal",Cdlac[[#This Row],[Quantity]]&gt;0)</f>
        <v>0</v>
      </c>
    </row>
    <row r="35" spans="2:20" ht="15" customHeight="1">
      <c r="E35" s="1121" t="s">
        <v>2304</v>
      </c>
      <c r="G35" s="1159" cm="1">
        <f t="array" ref="G35">SUMPRODUCT(Cdlac[Quantity],Cdlac[iAMI],IF(Cdlac[Federal],0,1))/SUMIFS(Cdlac[Quantity],Cdlac[Federal],FALSE)</f>
        <v>0.52658227848101258</v>
      </c>
      <c r="L35" s="1076" t="str">
        <f>IFERROR(MIN(4,MATCH(Application!B733,UnitSizes,0)-1),"")</f>
        <v/>
      </c>
      <c r="M35" s="1098">
        <f>Application!G733</f>
        <v>0</v>
      </c>
      <c r="N35" s="1106">
        <f>Application!AC733</f>
        <v>0</v>
      </c>
      <c r="O35" s="1106" t="str">
        <f>IF(Cdlac[[#This Row],[Quantity]]&gt;0,IF(Cdlac[[#This Row],[Federal]],30%,IF($G$36,40%,Cdlac[[#This Row],[iAMI]])),"")</f>
        <v/>
      </c>
      <c r="P35" s="1098" t="str" cm="1">
        <f t="array" ref="P35">IF(Cdlac[[#This Row],[Quantity]]&gt;0,INDEX(TcacRents,$P$18,Cdlac[[#This Row],[Bedrooms]]+1)*Cdlac[[#This Row],[AMI]],"")</f>
        <v/>
      </c>
      <c r="Q35" s="1098" t="str" cm="1">
        <f t="array" ref="Q35">IF(Cdlac[[#This Row],[Quantity]]&gt;0,INDEX(HudFmrs,$P$18,Cdlac[[#This Row],[Bedrooms]]+1),"")</f>
        <v/>
      </c>
      <c r="R35" s="1098" t="str">
        <f>IF(Cdlac[[#This Row],[Quantity]]&gt;0,MAX(0,Cdlac[[#This Row],[Fair Market Rent]]-Cdlac[[#This Row],[Restricted Rent]]),"")</f>
        <v/>
      </c>
      <c r="S35" s="1076" t="str">
        <f>IF(Cdlac[[#This Row],[Quantity]]&gt;0,AND(Application!AK733&lt;&gt;"N/A",Application!AK733&lt;&gt;"")*Cdlac[[#This Row],[Quantity]],"")</f>
        <v/>
      </c>
      <c r="T35" s="1076" t="b">
        <f>AND('Subsidy Contract Calculation'!F19&gt;0,'Subsidy Contract Calculation'!C19="Federal",Cdlac[[#This Row],[Quantity]]&gt;0)</f>
        <v>0</v>
      </c>
    </row>
    <row r="36" spans="2:20" ht="15" customHeight="1">
      <c r="E36" s="1121" t="s">
        <v>2299</v>
      </c>
      <c r="G36" s="1116" t="b">
        <f>G35&lt;40%</f>
        <v>0</v>
      </c>
      <c r="L36" s="1076" t="str">
        <f>IFERROR(MIN(4,MATCH(Application!B734,UnitSizes,0)-1),"")</f>
        <v/>
      </c>
      <c r="M36" s="1098">
        <f>Application!G734</f>
        <v>0</v>
      </c>
      <c r="N36" s="1106">
        <f>Application!AC734</f>
        <v>0</v>
      </c>
      <c r="O36" s="1106" t="str">
        <f>IF(Cdlac[[#This Row],[Quantity]]&gt;0,IF(Cdlac[[#This Row],[Federal]],30%,IF($G$36,40%,Cdlac[[#This Row],[iAMI]])),"")</f>
        <v/>
      </c>
      <c r="P36" s="1098" t="str" cm="1">
        <f t="array" ref="P36">IF(Cdlac[[#This Row],[Quantity]]&gt;0,INDEX(TcacRents,$P$18,Cdlac[[#This Row],[Bedrooms]]+1)*Cdlac[[#This Row],[AMI]],"")</f>
        <v/>
      </c>
      <c r="Q36" s="1098" t="str" cm="1">
        <f t="array" ref="Q36">IF(Cdlac[[#This Row],[Quantity]]&gt;0,INDEX(HudFmrs,$P$18,Cdlac[[#This Row],[Bedrooms]]+1),"")</f>
        <v/>
      </c>
      <c r="R36" s="1098" t="str">
        <f>IF(Cdlac[[#This Row],[Quantity]]&gt;0,MAX(0,Cdlac[[#This Row],[Fair Market Rent]]-Cdlac[[#This Row],[Restricted Rent]]),"")</f>
        <v/>
      </c>
      <c r="S36" s="1076" t="str">
        <f>IF(Cdlac[[#This Row],[Quantity]]&gt;0,AND(Application!AK734&lt;&gt;"N/A",Application!AK734&lt;&gt;"")*Cdlac[[#This Row],[Quantity]],"")</f>
        <v/>
      </c>
      <c r="T36" s="1076" t="b">
        <f>AND('Subsidy Contract Calculation'!F20&gt;0,'Subsidy Contract Calculation'!C20="Federal",Cdlac[[#This Row],[Quantity]]&gt;0)</f>
        <v>0</v>
      </c>
    </row>
    <row r="37" spans="2:20" ht="15" customHeight="1">
      <c r="L37" s="1076" t="str">
        <f>IFERROR(MIN(4,MATCH(Application!B735,UnitSizes,0)-1),"")</f>
        <v/>
      </c>
      <c r="M37" s="1098">
        <f>Application!G735</f>
        <v>0</v>
      </c>
      <c r="N37" s="1106">
        <f>Application!AC735</f>
        <v>0</v>
      </c>
      <c r="O37" s="1106" t="str">
        <f>IF(Cdlac[[#This Row],[Quantity]]&gt;0,IF(Cdlac[[#This Row],[Federal]],30%,IF($G$36,40%,Cdlac[[#This Row],[iAMI]])),"")</f>
        <v/>
      </c>
      <c r="P37" s="1098" t="str" cm="1">
        <f t="array" ref="P37">IF(Cdlac[[#This Row],[Quantity]]&gt;0,INDEX(TcacRents,$P$18,Cdlac[[#This Row],[Bedrooms]]+1)*Cdlac[[#This Row],[AMI]],"")</f>
        <v/>
      </c>
      <c r="Q37" s="1098" t="str" cm="1">
        <f t="array" ref="Q37">IF(Cdlac[[#This Row],[Quantity]]&gt;0,INDEX(HudFmrs,$P$18,Cdlac[[#This Row],[Bedrooms]]+1),"")</f>
        <v/>
      </c>
      <c r="R37" s="1098" t="str">
        <f>IF(Cdlac[[#This Row],[Quantity]]&gt;0,MAX(0,Cdlac[[#This Row],[Fair Market Rent]]-Cdlac[[#This Row],[Restricted Rent]]),"")</f>
        <v/>
      </c>
      <c r="S37" s="1076" t="str">
        <f>IF(Cdlac[[#This Row],[Quantity]]&gt;0,AND(Application!AK735&lt;&gt;"N/A",Application!AK735&lt;&gt;"")*Cdlac[[#This Row],[Quantity]],"")</f>
        <v/>
      </c>
      <c r="T37" s="1076" t="b">
        <f>AND('Subsidy Contract Calculation'!F21&gt;0,'Subsidy Contract Calculation'!C21="Federal",Cdlac[[#This Row],[Quantity]]&gt;0)</f>
        <v>0</v>
      </c>
    </row>
    <row r="38" spans="2:20" ht="15" customHeight="1">
      <c r="E38" s="1121" t="s">
        <v>2240</v>
      </c>
      <c r="G38" s="1113">
        <f>SUMPRODUCT(Cdlac[Quantity],Cdlac[Delta])</f>
        <v>115120.20000000003</v>
      </c>
      <c r="L38" s="1076" t="str">
        <f>IFERROR(MIN(4,MATCH(Application!B736,UnitSizes,0)-1),"")</f>
        <v/>
      </c>
      <c r="M38" s="1098">
        <f>Application!G736</f>
        <v>0</v>
      </c>
      <c r="N38" s="1106">
        <f>Application!AC736</f>
        <v>0</v>
      </c>
      <c r="O38" s="1106" t="str">
        <f>IF(Cdlac[[#This Row],[Quantity]]&gt;0,IF(Cdlac[[#This Row],[Federal]],30%,IF($G$36,40%,Cdlac[[#This Row],[iAMI]])),"")</f>
        <v/>
      </c>
      <c r="P38" s="1098" t="str" cm="1">
        <f t="array" ref="P38">IF(Cdlac[[#This Row],[Quantity]]&gt;0,INDEX(TcacRents,$P$18,Cdlac[[#This Row],[Bedrooms]]+1)*Cdlac[[#This Row],[AMI]],"")</f>
        <v/>
      </c>
      <c r="Q38" s="1098" t="str" cm="1">
        <f t="array" ref="Q38">IF(Cdlac[[#This Row],[Quantity]]&gt;0,INDEX(HudFmrs,$P$18,Cdlac[[#This Row],[Bedrooms]]+1),"")</f>
        <v/>
      </c>
      <c r="R38" s="1098" t="str">
        <f>IF(Cdlac[[#This Row],[Quantity]]&gt;0,MAX(0,Cdlac[[#This Row],[Fair Market Rent]]-Cdlac[[#This Row],[Restricted Rent]]),"")</f>
        <v/>
      </c>
      <c r="S38" s="1076" t="str">
        <f>IF(Cdlac[[#This Row],[Quantity]]&gt;0,AND(Application!AK736&lt;&gt;"N/A",Application!AK736&lt;&gt;"")*Cdlac[[#This Row],[Quantity]],"")</f>
        <v/>
      </c>
      <c r="T38" s="1076" t="b">
        <f>AND('Subsidy Contract Calculation'!F22&gt;0,'Subsidy Contract Calculation'!C22="Federal",Cdlac[[#This Row],[Quantity]]&gt;0)</f>
        <v>0</v>
      </c>
    </row>
    <row r="39" spans="2:20" ht="15" customHeight="1">
      <c r="E39" s="1156" t="s">
        <v>2305</v>
      </c>
      <c r="F39" s="1152" t="s">
        <v>2293</v>
      </c>
      <c r="G39" s="1160">
        <f>12*15</f>
        <v>180</v>
      </c>
      <c r="L39" s="1076" t="str">
        <f>IFERROR(MIN(4,MATCH(Application!B737,UnitSizes,0)-1),"")</f>
        <v/>
      </c>
      <c r="M39" s="1098">
        <f>Application!G737</f>
        <v>0</v>
      </c>
      <c r="N39" s="1106">
        <f>Application!AC737</f>
        <v>0</v>
      </c>
      <c r="O39" s="1106" t="str">
        <f>IF(Cdlac[[#This Row],[Quantity]]&gt;0,IF(Cdlac[[#This Row],[Federal]],30%,IF($G$36,40%,Cdlac[[#This Row],[iAMI]])),"")</f>
        <v/>
      </c>
      <c r="P39" s="1098" t="str" cm="1">
        <f t="array" ref="P39">IF(Cdlac[[#This Row],[Quantity]]&gt;0,INDEX(TcacRents,$P$18,Cdlac[[#This Row],[Bedrooms]]+1)*Cdlac[[#This Row],[AMI]],"")</f>
        <v/>
      </c>
      <c r="Q39" s="1098" t="str" cm="1">
        <f t="array" ref="Q39">IF(Cdlac[[#This Row],[Quantity]]&gt;0,INDEX(HudFmrs,$P$18,Cdlac[[#This Row],[Bedrooms]]+1),"")</f>
        <v/>
      </c>
      <c r="R39" s="1098" t="str">
        <f>IF(Cdlac[[#This Row],[Quantity]]&gt;0,MAX(0,Cdlac[[#This Row],[Fair Market Rent]]-Cdlac[[#This Row],[Restricted Rent]]),"")</f>
        <v/>
      </c>
      <c r="S39" s="1076" t="str">
        <f>IF(Cdlac[[#This Row],[Quantity]]&gt;0,AND(Application!AK737&lt;&gt;"N/A",Application!AK737&lt;&gt;"")*Cdlac[[#This Row],[Quantity]],"")</f>
        <v/>
      </c>
      <c r="T39" s="1076" t="b">
        <f>AND('Subsidy Contract Calculation'!F23&gt;0,'Subsidy Contract Calculation'!C23="Federal",Cdlac[[#This Row],[Quantity]]&gt;0)</f>
        <v>0</v>
      </c>
    </row>
    <row r="40" spans="2:20" ht="15" customHeight="1">
      <c r="E40" s="1161" t="s">
        <v>2233</v>
      </c>
      <c r="F40" s="1078"/>
      <c r="G40" s="1162">
        <f>G38*G39</f>
        <v>20721636.000000004</v>
      </c>
      <c r="L40" s="1076" t="str">
        <f>IFERROR(MIN(4,MATCH(Application!B738,UnitSizes,0)-1),"")</f>
        <v/>
      </c>
      <c r="M40" s="1098">
        <f>Application!G738</f>
        <v>0</v>
      </c>
      <c r="N40" s="1106">
        <f>Application!AC738</f>
        <v>0</v>
      </c>
      <c r="O40" s="1106" t="str">
        <f>IF(Cdlac[[#This Row],[Quantity]]&gt;0,IF(Cdlac[[#This Row],[Federal]],30%,IF($G$36,40%,Cdlac[[#This Row],[iAMI]])),"")</f>
        <v/>
      </c>
      <c r="P40" s="1098" t="str" cm="1">
        <f t="array" ref="P40">IF(Cdlac[[#This Row],[Quantity]]&gt;0,INDEX(TcacRents,$P$18,Cdlac[[#This Row],[Bedrooms]]+1)*Cdlac[[#This Row],[AMI]],"")</f>
        <v/>
      </c>
      <c r="Q40" s="1098" t="str" cm="1">
        <f t="array" ref="Q40">IF(Cdlac[[#This Row],[Quantity]]&gt;0,INDEX(HudFmrs,$P$18,Cdlac[[#This Row],[Bedrooms]]+1),"")</f>
        <v/>
      </c>
      <c r="R40" s="1098" t="str">
        <f>IF(Cdlac[[#This Row],[Quantity]]&gt;0,MAX(0,Cdlac[[#This Row],[Fair Market Rent]]-Cdlac[[#This Row],[Restricted Rent]]),"")</f>
        <v/>
      </c>
      <c r="S40" s="1076" t="str">
        <f>IF(Cdlac[[#This Row],[Quantity]]&gt;0,AND(Application!AK738&lt;&gt;"N/A",Application!AK738&lt;&gt;"")*Cdlac[[#This Row],[Quantity]],"")</f>
        <v/>
      </c>
      <c r="T40" s="1076" t="b">
        <f>AND('Subsidy Contract Calculation'!F24&gt;0,'Subsidy Contract Calculation'!C24="Federal",Cdlac[[#This Row],[Quantity]]&gt;0)</f>
        <v>0</v>
      </c>
    </row>
    <row r="41" spans="2:20" ht="15" customHeight="1">
      <c r="L41" s="1076" t="str">
        <f>IFERROR(MIN(4,MATCH(Application!B739,UnitSizes,0)-1),"")</f>
        <v/>
      </c>
      <c r="M41" s="1098">
        <f>Application!G739</f>
        <v>0</v>
      </c>
      <c r="N41" s="1106">
        <f>Application!AC739</f>
        <v>0</v>
      </c>
      <c r="O41" s="1106" t="str">
        <f>IF(Cdlac[[#This Row],[Quantity]]&gt;0,IF(Cdlac[[#This Row],[Federal]],30%,IF($G$36,40%,Cdlac[[#This Row],[iAMI]])),"")</f>
        <v/>
      </c>
      <c r="P41" s="1098" t="str" cm="1">
        <f t="array" ref="P41">IF(Cdlac[[#This Row],[Quantity]]&gt;0,INDEX(TcacRents,$P$18,Cdlac[[#This Row],[Bedrooms]]+1)*Cdlac[[#This Row],[AMI]],"")</f>
        <v/>
      </c>
      <c r="Q41" s="1098" t="str" cm="1">
        <f t="array" ref="Q41">IF(Cdlac[[#This Row],[Quantity]]&gt;0,INDEX(HudFmrs,$P$18,Cdlac[[#This Row],[Bedrooms]]+1),"")</f>
        <v/>
      </c>
      <c r="R41" s="1098" t="str">
        <f>IF(Cdlac[[#This Row],[Quantity]]&gt;0,MAX(0,Cdlac[[#This Row],[Fair Market Rent]]-Cdlac[[#This Row],[Restricted Rent]]),"")</f>
        <v/>
      </c>
      <c r="S41" s="1076" t="str">
        <f>IF(Cdlac[[#This Row],[Quantity]]&gt;0,AND(Application!AK739&lt;&gt;"N/A",Application!AK739&lt;&gt;"")*Cdlac[[#This Row],[Quantity]],"")</f>
        <v/>
      </c>
      <c r="T41" s="1076" t="b">
        <f>AND('Subsidy Contract Calculation'!F25&gt;0,'Subsidy Contract Calculation'!C25="Federal",Cdlac[[#This Row],[Quantity]]&gt;0)</f>
        <v>0</v>
      </c>
    </row>
    <row r="42" spans="2:20" ht="15" customHeight="1">
      <c r="B42" s="1101" t="str">
        <f>B11</f>
        <v>C. Special Needs Population Benefit</v>
      </c>
      <c r="C42" s="1102"/>
      <c r="D42" s="1102"/>
      <c r="E42" s="1102"/>
      <c r="F42" s="1102"/>
      <c r="G42" s="1102"/>
      <c r="H42" s="1102"/>
      <c r="I42" s="1103"/>
      <c r="L42" s="1076" t="str">
        <f>IFERROR(MIN(4,MATCH(Application!B740,UnitSizes,0)-1),"")</f>
        <v/>
      </c>
      <c r="M42" s="1098">
        <f>Application!G740</f>
        <v>0</v>
      </c>
      <c r="N42" s="1106">
        <f>Application!AC740</f>
        <v>0</v>
      </c>
      <c r="O42" s="1106" t="str">
        <f>IF(Cdlac[[#This Row],[Quantity]]&gt;0,IF(Cdlac[[#This Row],[Federal]],30%,IF($G$36,40%,Cdlac[[#This Row],[iAMI]])),"")</f>
        <v/>
      </c>
      <c r="P42" s="1098" t="str" cm="1">
        <f t="array" ref="P42">IF(Cdlac[[#This Row],[Quantity]]&gt;0,INDEX(TcacRents,$P$18,Cdlac[[#This Row],[Bedrooms]]+1)*Cdlac[[#This Row],[AMI]],"")</f>
        <v/>
      </c>
      <c r="Q42" s="1098" t="str" cm="1">
        <f t="array" ref="Q42">IF(Cdlac[[#This Row],[Quantity]]&gt;0,INDEX(HudFmrs,$P$18,Cdlac[[#This Row],[Bedrooms]]+1),"")</f>
        <v/>
      </c>
      <c r="R42" s="1098" t="str">
        <f>IF(Cdlac[[#This Row],[Quantity]]&gt;0,MAX(0,Cdlac[[#This Row],[Fair Market Rent]]-Cdlac[[#This Row],[Restricted Rent]]),"")</f>
        <v/>
      </c>
      <c r="S42" s="1076" t="str">
        <f>IF(Cdlac[[#This Row],[Quantity]]&gt;0,AND(Application!AK740&lt;&gt;"N/A",Application!AK740&lt;&gt;"")*Cdlac[[#This Row],[Quantity]],"")</f>
        <v/>
      </c>
      <c r="T42" s="1076" t="b">
        <f>AND('Subsidy Contract Calculation'!F26&gt;0,'Subsidy Contract Calculation'!C26="Federal",Cdlac[[#This Row],[Quantity]]&gt;0)</f>
        <v>0</v>
      </c>
    </row>
    <row r="43" spans="2:20" ht="15" customHeight="1">
      <c r="L43" s="1076" t="str">
        <f>IFERROR(MIN(4,MATCH(Application!B741,UnitSizes,0)-1),"")</f>
        <v/>
      </c>
      <c r="M43" s="1098">
        <f>Application!G741</f>
        <v>0</v>
      </c>
      <c r="N43" s="1106">
        <f>Application!AC741</f>
        <v>0</v>
      </c>
      <c r="O43" s="1106" t="str">
        <f>IF(Cdlac[[#This Row],[Quantity]]&gt;0,IF(Cdlac[[#This Row],[Federal]],30%,IF($G$36,40%,Cdlac[[#This Row],[iAMI]])),"")</f>
        <v/>
      </c>
      <c r="P43" s="1098" t="str" cm="1">
        <f t="array" ref="P43">IF(Cdlac[[#This Row],[Quantity]]&gt;0,INDEX(TcacRents,$P$18,Cdlac[[#This Row],[Bedrooms]]+1)*Cdlac[[#This Row],[AMI]],"")</f>
        <v/>
      </c>
      <c r="Q43" s="1098" t="str" cm="1">
        <f t="array" ref="Q43">IF(Cdlac[[#This Row],[Quantity]]&gt;0,INDEX(HudFmrs,$P$18,Cdlac[[#This Row],[Bedrooms]]+1),"")</f>
        <v/>
      </c>
      <c r="R43" s="1098" t="str">
        <f>IF(Cdlac[[#This Row],[Quantity]]&gt;0,MAX(0,Cdlac[[#This Row],[Fair Market Rent]]-Cdlac[[#This Row],[Restricted Rent]]),"")</f>
        <v/>
      </c>
      <c r="S43" s="1076" t="str">
        <f>IF(Cdlac[[#This Row],[Quantity]]&gt;0,AND(Application!AK741&lt;&gt;"N/A",Application!AK741&lt;&gt;"")*Cdlac[[#This Row],[Quantity]],"")</f>
        <v/>
      </c>
      <c r="T43" s="1076" t="b">
        <f>AND('Subsidy Contract Calculation'!F27&gt;0,'Subsidy Contract Calculation'!C27="Federal",Cdlac[[#This Row],[Quantity]]&gt;0)</f>
        <v>0</v>
      </c>
    </row>
    <row r="44" spans="2:20" ht="15" customHeight="1">
      <c r="E44" s="1156" t="s">
        <v>2294</v>
      </c>
      <c r="G44" s="1164">
        <f>S18</f>
        <v>0</v>
      </c>
      <c r="L44" s="1076" t="str">
        <f>IFERROR(MIN(4,MATCH(Application!B752,UnitSizes,0)-1),"")</f>
        <v/>
      </c>
      <c r="M44" s="1098">
        <f>Application!G752</f>
        <v>0</v>
      </c>
      <c r="N44" s="1106">
        <f>Application!AC752</f>
        <v>0</v>
      </c>
      <c r="O44" s="1117" t="str">
        <f>IF(Cdlac[[#This Row],[Quantity]]&gt;0,IF(Cdlac[[#This Row],[Federal]],30%,IF($G$36,40%,Cdlac[[#This Row],[iAMI]])),"")</f>
        <v/>
      </c>
      <c r="P44" s="1098" t="str" cm="1">
        <f t="array" ref="P44">IF(Cdlac[[#This Row],[Quantity]]&gt;0,INDEX(TcacRents,$P$18,Cdlac[[#This Row],[Bedrooms]]+1)*Cdlac[[#This Row],[AMI]],"")</f>
        <v/>
      </c>
      <c r="Q44" s="1098" t="str" cm="1">
        <f t="array" ref="Q44">IF(Cdlac[[#This Row],[Quantity]]&gt;0,INDEX(HudFmrs,$P$18,Cdlac[[#This Row],[Bedrooms]]+1),"")</f>
        <v/>
      </c>
      <c r="R44" s="1098" t="str">
        <f>IF(Cdlac[[#This Row],[Quantity]]&gt;0,MAX(0,Cdlac[[#This Row],[Fair Market Rent]]-Cdlac[[#This Row],[Restricted Rent]]),"")</f>
        <v/>
      </c>
      <c r="S44" s="1076" t="str">
        <f>IF(Cdlac[[#This Row],[Quantity]]&gt;0,AND(Application!AK752&lt;&gt;"N/A",Application!AK752&lt;&gt;"")*Cdlac[[#This Row],[Quantity]],"")</f>
        <v/>
      </c>
      <c r="T44" s="1076" t="b">
        <f>AND('Subsidy Contract Calculation'!F38&gt;0,'Subsidy Contract Calculation'!C38="Federal",Cdlac[[#This Row],[Quantity]]&gt;0)</f>
        <v>0</v>
      </c>
    </row>
    <row r="45" spans="2:20" ht="15" customHeight="1">
      <c r="E45" s="1156" t="s">
        <v>2295</v>
      </c>
      <c r="G45" s="1164">
        <f>ROUNDDOWN(E27*50%,0)</f>
        <v>79</v>
      </c>
    </row>
    <row r="46" spans="2:20" ht="15" customHeight="1">
      <c r="E46" s="1156"/>
      <c r="G46" s="1164"/>
    </row>
    <row r="47" spans="2:20" ht="15" customHeight="1">
      <c r="E47" s="1156" t="s">
        <v>2246</v>
      </c>
      <c r="G47" s="1153">
        <f>MIN(G44:G45)</f>
        <v>0</v>
      </c>
    </row>
    <row r="48" spans="2:20" ht="15" customHeight="1">
      <c r="E48" s="1156" t="s">
        <v>2236</v>
      </c>
      <c r="F48" s="1152" t="s">
        <v>2293</v>
      </c>
      <c r="G48" s="1163">
        <v>10000</v>
      </c>
    </row>
    <row r="49" spans="2:14" ht="15" customHeight="1">
      <c r="E49" s="1157" t="s">
        <v>2276</v>
      </c>
      <c r="F49" s="1078"/>
      <c r="G49" s="1162">
        <f>G47*G48</f>
        <v>0</v>
      </c>
    </row>
    <row r="50" spans="2:14" ht="15" customHeight="1"/>
    <row r="51" spans="2:14" ht="15" customHeight="1">
      <c r="B51" s="1101" t="str">
        <f>B12</f>
        <v>D. Extremely Low Income Benefit</v>
      </c>
      <c r="C51" s="1102"/>
      <c r="D51" s="1102"/>
      <c r="E51" s="1102"/>
      <c r="F51" s="1102"/>
      <c r="G51" s="1102"/>
      <c r="H51" s="1102"/>
      <c r="I51" s="1103"/>
    </row>
    <row r="52" spans="2:14" ht="15" customHeight="1"/>
    <row r="53" spans="2:14" ht="15" customHeight="1">
      <c r="E53" s="1156" t="s">
        <v>2296</v>
      </c>
      <c r="G53" s="1114">
        <f>SUMIFS(Cdlac[Quantity],Cdlac[iAMI],"&lt;=30%")</f>
        <v>40</v>
      </c>
    </row>
    <row r="54" spans="2:14" ht="15" customHeight="1">
      <c r="E54" s="1156" t="s">
        <v>2295</v>
      </c>
      <c r="G54" s="1114">
        <f>ROUNDDOWN(E27*50%,0)</f>
        <v>79</v>
      </c>
    </row>
    <row r="55" spans="2:14" ht="15" customHeight="1">
      <c r="E55" s="1156"/>
      <c r="G55" s="1114"/>
    </row>
    <row r="56" spans="2:14" ht="15" customHeight="1">
      <c r="E56" s="1156" t="s">
        <v>2246</v>
      </c>
      <c r="G56" s="1153">
        <f>MIN(G53:G54)</f>
        <v>40</v>
      </c>
    </row>
    <row r="57" spans="2:14" ht="15" customHeight="1">
      <c r="E57" s="1156" t="s">
        <v>2236</v>
      </c>
      <c r="F57" s="1152" t="s">
        <v>2293</v>
      </c>
      <c r="G57" s="1163">
        <v>20000</v>
      </c>
    </row>
    <row r="58" spans="2:14" ht="15" customHeight="1">
      <c r="E58" s="1157" t="s">
        <v>2275</v>
      </c>
      <c r="F58" s="1078"/>
      <c r="G58" s="1162">
        <f>G56*G57</f>
        <v>800000</v>
      </c>
    </row>
    <row r="59" spans="2:14" ht="15" customHeight="1"/>
    <row r="60" spans="2:14" ht="15" customHeight="1">
      <c r="B60" s="1101" t="str">
        <f>B13</f>
        <v>E. Sustainability Benefit</v>
      </c>
      <c r="C60" s="1102"/>
      <c r="D60" s="1102"/>
      <c r="E60" s="1102"/>
      <c r="F60" s="1102"/>
      <c r="G60" s="1102"/>
      <c r="H60" s="1102"/>
      <c r="I60" s="1103"/>
    </row>
    <row r="61" spans="2:14" ht="15" customHeight="1" thickBot="1"/>
    <row r="62" spans="2:14" ht="15" customHeight="1">
      <c r="E62" s="1121" t="s">
        <v>2249</v>
      </c>
      <c r="G62" s="1153">
        <f>VLOOKUP('Points System'!$H$595,'Points System'!$AO$575:$AP$580,2,FALSE)</f>
        <v>7</v>
      </c>
      <c r="L62" s="1166" t="str">
        <f>'Points System'!H627</f>
        <v>(i)</v>
      </c>
      <c r="M62" s="2156" t="s">
        <v>1514</v>
      </c>
      <c r="N62" s="2157"/>
    </row>
    <row r="63" spans="2:14" ht="15" customHeight="1">
      <c r="E63" s="1121" t="s">
        <v>2236</v>
      </c>
      <c r="F63" s="1152" t="s">
        <v>2293</v>
      </c>
      <c r="G63" s="1111">
        <v>4000</v>
      </c>
      <c r="L63" s="1167" t="str">
        <f>'Points System'!H639</f>
        <v>(i)</v>
      </c>
      <c r="M63" s="2158" t="s">
        <v>2250</v>
      </c>
      <c r="N63" s="2159"/>
    </row>
    <row r="64" spans="2:14" ht="15" customHeight="1">
      <c r="E64" s="1121" t="s">
        <v>2297</v>
      </c>
      <c r="F64" s="1152" t="s">
        <v>2293</v>
      </c>
      <c r="G64" s="1165">
        <f>G27</f>
        <v>188.5</v>
      </c>
      <c r="L64" s="1167" t="str">
        <f>'Points System'!H674</f>
        <v>(i)</v>
      </c>
      <c r="M64" s="2158" t="s">
        <v>2251</v>
      </c>
      <c r="N64" s="2159"/>
    </row>
    <row r="65" spans="2:14" ht="15" customHeight="1">
      <c r="E65" s="1157" t="s">
        <v>2255</v>
      </c>
      <c r="F65" s="1078"/>
      <c r="G65" s="1162">
        <f>G62*G63*G64</f>
        <v>5278000</v>
      </c>
      <c r="L65" s="1167" t="str">
        <f>IF(OR('Points System'!H698="(ii)",'Points System'!H698="(i)"),"(i)","N/A")</f>
        <v>(i)</v>
      </c>
      <c r="M65" s="2158" t="s">
        <v>2252</v>
      </c>
      <c r="N65" s="2159"/>
    </row>
    <row r="66" spans="2:14" ht="15" customHeight="1">
      <c r="C66" s="1112"/>
      <c r="G66" s="1153"/>
      <c r="L66" s="1168" t="str">
        <f>'Points System'!H712</f>
        <v>N/A</v>
      </c>
      <c r="M66" s="2158" t="s">
        <v>1540</v>
      </c>
      <c r="N66" s="2159"/>
    </row>
    <row r="67" spans="2:14" ht="15" customHeight="1">
      <c r="E67" s="1121" t="s">
        <v>2298</v>
      </c>
      <c r="G67" s="1165">
        <f>COUNTIFS(L62:L69,"(i)")</f>
        <v>6</v>
      </c>
      <c r="L67" s="1167" t="str">
        <f>'Points System'!H724</f>
        <v>N/A</v>
      </c>
      <c r="M67" s="2158" t="s">
        <v>2253</v>
      </c>
      <c r="N67" s="2159"/>
    </row>
    <row r="68" spans="2:14" ht="15" customHeight="1">
      <c r="E68" s="1121" t="s">
        <v>2236</v>
      </c>
      <c r="F68" s="1152" t="s">
        <v>2293</v>
      </c>
      <c r="G68" s="1163">
        <v>4000</v>
      </c>
      <c r="L68" s="1167" t="str">
        <f>'Points System'!H740</f>
        <v>(i)</v>
      </c>
      <c r="M68" s="2158" t="s">
        <v>2254</v>
      </c>
      <c r="N68" s="2159"/>
    </row>
    <row r="69" spans="2:14" ht="15" customHeight="1" thickBot="1">
      <c r="E69" s="1157" t="s">
        <v>2256</v>
      </c>
      <c r="F69" s="1078"/>
      <c r="G69" s="1162">
        <f>G64*G67*G68</f>
        <v>4524000</v>
      </c>
      <c r="L69" s="1169" t="str">
        <f>'Points System'!H752</f>
        <v>(i)</v>
      </c>
      <c r="M69" s="2164" t="s">
        <v>1543</v>
      </c>
      <c r="N69" s="2165"/>
    </row>
    <row r="70" spans="2:14" ht="15" customHeight="1"/>
    <row r="71" spans="2:14" ht="15" customHeight="1">
      <c r="C71" s="1115" t="s">
        <v>2258</v>
      </c>
    </row>
    <row r="72" spans="2:14" ht="15" customHeight="1">
      <c r="C72" s="1112" t="s">
        <v>2259</v>
      </c>
      <c r="G72" s="1075"/>
    </row>
    <row r="73" spans="2:14" ht="15" customHeight="1">
      <c r="C73" s="1112" t="s">
        <v>2260</v>
      </c>
      <c r="G73" s="1075"/>
    </row>
    <row r="74" spans="2:14" ht="15" customHeight="1">
      <c r="C74" s="1112" t="s">
        <v>2488</v>
      </c>
      <c r="G74" s="1075" t="s">
        <v>553</v>
      </c>
    </row>
    <row r="75" spans="2:14" ht="15" customHeight="1">
      <c r="C75" s="1112" t="s">
        <v>2489</v>
      </c>
      <c r="G75" s="1075" t="s">
        <v>553</v>
      </c>
    </row>
    <row r="76" spans="2:14" ht="15" customHeight="1"/>
    <row r="77" spans="2:14" ht="15" customHeight="1">
      <c r="B77" s="1113"/>
      <c r="C77" s="1112"/>
      <c r="E77" s="1121" t="s">
        <v>2300</v>
      </c>
      <c r="G77" s="1114" t="b">
        <f>COUNTIFS(G72:G75,"Yes")&gt;=1</f>
        <v>1</v>
      </c>
    </row>
    <row r="78" spans="2:14" ht="15" customHeight="1">
      <c r="E78" s="1112"/>
    </row>
    <row r="79" spans="2:14" ht="15" customHeight="1">
      <c r="E79" s="1121" t="s">
        <v>2297</v>
      </c>
      <c r="F79" s="1152" t="s">
        <v>2293</v>
      </c>
      <c r="G79" s="1153">
        <f>G27</f>
        <v>188.5</v>
      </c>
    </row>
    <row r="80" spans="2:14" ht="15" customHeight="1">
      <c r="E80" s="1121" t="s">
        <v>2236</v>
      </c>
      <c r="F80" s="1152" t="s">
        <v>2293</v>
      </c>
      <c r="G80" s="1163">
        <v>25000</v>
      </c>
    </row>
    <row r="81" spans="2:14" ht="15" customHeight="1">
      <c r="E81" s="1157" t="s">
        <v>2257</v>
      </c>
      <c r="F81" s="1078"/>
      <c r="G81" s="1162">
        <f>G77*G80*G64</f>
        <v>4712500</v>
      </c>
    </row>
    <row r="82" spans="2:14" ht="15" customHeight="1">
      <c r="C82" s="1112"/>
      <c r="E82" s="1112"/>
    </row>
    <row r="83" spans="2:14" ht="15" customHeight="1">
      <c r="E83" s="1157" t="s">
        <v>2234</v>
      </c>
      <c r="G83" s="1162">
        <f>G81+G69+G65</f>
        <v>14514500</v>
      </c>
    </row>
    <row r="84" spans="2:14" ht="15" customHeight="1"/>
    <row r="85" spans="2:14" ht="15" customHeight="1">
      <c r="B85" s="1101" t="str">
        <f>B14</f>
        <v>F. Opportunity Benefit</v>
      </c>
      <c r="C85" s="1102"/>
      <c r="D85" s="1102"/>
      <c r="E85" s="1102"/>
      <c r="F85" s="1102"/>
      <c r="G85" s="1102"/>
      <c r="H85" s="1102"/>
      <c r="I85" s="1103"/>
    </row>
    <row r="86" spans="2:14" ht="15" customHeight="1" thickBot="1"/>
    <row r="87" spans="2:14" ht="15" customHeight="1">
      <c r="C87" s="1112" t="s">
        <v>2279</v>
      </c>
      <c r="G87" s="1075" t="s">
        <v>553</v>
      </c>
      <c r="L87" s="2166" t="s">
        <v>2263</v>
      </c>
      <c r="M87" s="2167"/>
      <c r="N87" s="1170">
        <v>30000</v>
      </c>
    </row>
    <row r="88" spans="2:14" ht="15" customHeight="1">
      <c r="C88" s="1112" t="s">
        <v>2280</v>
      </c>
      <c r="G88" s="1116" t="str">
        <f>IF(Application!D211="Large Family","Yes","No")</f>
        <v>Yes</v>
      </c>
      <c r="L88" s="2160" t="s">
        <v>2227</v>
      </c>
      <c r="M88" s="2161"/>
      <c r="N88" s="1171">
        <v>20000</v>
      </c>
    </row>
    <row r="89" spans="2:14" ht="15" customHeight="1" thickBot="1">
      <c r="C89" s="1112" t="s">
        <v>2261</v>
      </c>
      <c r="G89" s="1075" t="s">
        <v>677</v>
      </c>
      <c r="L89" s="2162" t="s">
        <v>2264</v>
      </c>
      <c r="M89" s="2163"/>
      <c r="N89" s="1172">
        <v>10000</v>
      </c>
    </row>
    <row r="90" spans="2:14" ht="15" customHeight="1">
      <c r="C90" s="1112" t="s">
        <v>2262</v>
      </c>
      <c r="G90" s="1076" t="str">
        <f>Application!T193</f>
        <v>Low Resource</v>
      </c>
    </row>
    <row r="91" spans="2:14" ht="15" customHeight="1">
      <c r="C91" s="1112"/>
    </row>
    <row r="92" spans="2:14" ht="15" customHeight="1">
      <c r="E92" s="1121" t="s">
        <v>2300</v>
      </c>
      <c r="G92" s="1114" t="b">
        <f>AND(COUNTIFS(G88:G89,"Yes")&gt;=1,G87="Yes")</f>
        <v>1</v>
      </c>
    </row>
    <row r="93" spans="2:14" ht="15" customHeight="1">
      <c r="E93" s="1121"/>
      <c r="G93" s="1114"/>
    </row>
    <row r="94" spans="2:14" ht="15" customHeight="1">
      <c r="E94" s="1121" t="s">
        <v>2236</v>
      </c>
      <c r="G94" s="1113">
        <f>IFERROR(INDEX(N87:N89,MATCH(LEFT(G90,17),L87:L89,0)),0)</f>
        <v>0</v>
      </c>
    </row>
    <row r="95" spans="2:14" ht="15" customHeight="1">
      <c r="E95" s="1121" t="str">
        <f>E64</f>
        <v>Bedroom-Adjusted Low-Income Units</v>
      </c>
      <c r="F95" s="1152" t="s">
        <v>2293</v>
      </c>
      <c r="G95" s="1153">
        <f>G27</f>
        <v>188.5</v>
      </c>
    </row>
    <row r="96" spans="2:14" ht="15" customHeight="1">
      <c r="D96" s="1078"/>
      <c r="E96" s="1157" t="s">
        <v>2235</v>
      </c>
      <c r="F96" s="1078"/>
      <c r="G96" s="1162">
        <f>G95*G94*G92</f>
        <v>0</v>
      </c>
    </row>
    <row r="97" spans="2:9" ht="15" customHeight="1"/>
    <row r="98" spans="2:9" ht="15" customHeight="1">
      <c r="B98" s="1101" t="s">
        <v>2248</v>
      </c>
      <c r="C98" s="1102"/>
      <c r="D98" s="1102"/>
      <c r="E98" s="1102"/>
      <c r="F98" s="1102"/>
      <c r="G98" s="1102"/>
      <c r="H98" s="1102"/>
      <c r="I98" s="1103"/>
    </row>
    <row r="99" spans="2:9" ht="15" customHeight="1"/>
    <row r="100" spans="2:9" ht="15" customHeight="1">
      <c r="F100" s="1155" t="s">
        <v>2274</v>
      </c>
      <c r="G100" s="1075" t="s">
        <v>553</v>
      </c>
    </row>
    <row r="101" spans="2:9" ht="15" customHeight="1">
      <c r="F101" s="1155"/>
    </row>
    <row r="102" spans="2:9" ht="15" customHeight="1">
      <c r="E102" s="1121" t="s">
        <v>2300</v>
      </c>
      <c r="G102" s="1114" t="b">
        <f>G100="Yes"</f>
        <v>1</v>
      </c>
    </row>
    <row r="103" spans="2:9" ht="15" customHeight="1"/>
    <row r="104" spans="2:9" ht="15" customHeight="1">
      <c r="E104" s="1121" t="str">
        <f>E64</f>
        <v>Bedroom-Adjusted Low-Income Units</v>
      </c>
      <c r="G104" s="1153">
        <f>G27</f>
        <v>188.5</v>
      </c>
    </row>
    <row r="105" spans="2:9" ht="15" customHeight="1">
      <c r="E105" s="1121" t="s">
        <v>2236</v>
      </c>
      <c r="F105" s="1152" t="s">
        <v>2293</v>
      </c>
      <c r="G105" s="1082">
        <v>20000</v>
      </c>
    </row>
    <row r="106" spans="2:9" ht="15" customHeight="1">
      <c r="E106" s="1157" t="s">
        <v>2265</v>
      </c>
      <c r="F106" s="1078"/>
      <c r="G106" s="1162">
        <f>G102*G105*G104</f>
        <v>3770000</v>
      </c>
    </row>
    <row r="107" spans="2:9" ht="15" customHeight="1"/>
    <row r="108" spans="2:9" ht="15" customHeight="1">
      <c r="B108" s="1101" t="s">
        <v>2302</v>
      </c>
      <c r="C108" s="1102"/>
      <c r="D108" s="1102"/>
      <c r="E108" s="1102"/>
      <c r="F108" s="1102"/>
      <c r="G108" s="1102"/>
      <c r="H108" s="1102"/>
      <c r="I108" s="1103"/>
    </row>
    <row r="109" spans="2:9" ht="15" customHeight="1"/>
    <row r="110" spans="2:9" ht="15" customHeight="1">
      <c r="E110" s="1121" t="s">
        <v>590</v>
      </c>
      <c r="G110" s="1076" t="str">
        <f>IF(Application!T189="","",Application!T189)</f>
        <v>Los Angeles</v>
      </c>
    </row>
    <row r="111" spans="2:9" ht="15" customHeight="1">
      <c r="E111" s="1121"/>
      <c r="G111" s="1113"/>
    </row>
    <row r="112" spans="2:9" ht="15" customHeight="1">
      <c r="E112" s="1121" t="str">
        <f>"2-Bedroom "&amp;G110&amp;" County Basis Limit"</f>
        <v>2-Bedroom Los Angeles County Basis Limit</v>
      </c>
      <c r="G112" s="1113">
        <f>Application!R987</f>
        <v>608800</v>
      </c>
    </row>
    <row r="113" spans="4:9" ht="15" customHeight="1">
      <c r="E113" s="1121" t="s">
        <v>2301</v>
      </c>
      <c r="G113" s="1113">
        <f>MEDIAN((Application!BR806:BR863))</f>
        <v>489600</v>
      </c>
    </row>
    <row r="114" spans="4:9" ht="15" customHeight="1">
      <c r="D114" s="1078"/>
      <c r="E114" s="1157" t="s">
        <v>2303</v>
      </c>
      <c r="F114" s="1173"/>
      <c r="G114" s="1174">
        <f>((G112-G113)/G113)*0.25</f>
        <v>6.0866013071895424E-2</v>
      </c>
      <c r="H114" s="1074"/>
      <c r="I114" s="1074"/>
    </row>
    <row r="115" spans="4:9" ht="15" customHeight="1">
      <c r="D115" s="1077"/>
      <c r="E115" s="1077"/>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Veronica Rigobon</cp:lastModifiedBy>
  <cp:lastPrinted>2022-06-02T00:41:49Z</cp:lastPrinted>
  <dcterms:created xsi:type="dcterms:W3CDTF">2007-12-27T18:26:28Z</dcterms:created>
  <dcterms:modified xsi:type="dcterms:W3CDTF">2024-04-22T22:23:46Z</dcterms:modified>
</cp:coreProperties>
</file>