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T:\CLIENTS\R\RAV200 Ravello Holdings, Inc\Apps\Maison's Village - Phase II\Bond App\Attachments\"/>
    </mc:Choice>
  </mc:AlternateContent>
  <xr:revisionPtr revIDLastSave="0" documentId="13_ncr:1_{A8775D0D-F441-475D-9715-3F337C801D9F}" xr6:coauthVersionLast="47" xr6:coauthVersionMax="47" xr10:uidLastSave="{00000000-0000-0000-0000-000000000000}"/>
  <bookViews>
    <workbookView xWindow="28680" yWindow="-120" windowWidth="29040" windowHeight="16440" tabRatio="75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6" i="3" l="1"/>
  <c r="AA62" i="7"/>
  <c r="AO629" i="3"/>
  <c r="Q494" i="3" l="1"/>
  <c r="AA918" i="3"/>
  <c r="E30" i="4"/>
  <c r="N135" i="4" l="1"/>
  <c r="S69" i="4" l="1"/>
  <c r="C69" i="4"/>
  <c r="C83" i="4"/>
  <c r="AD189" i="20"/>
  <c r="AD188" i="20"/>
  <c r="R52" i="27"/>
  <c r="AF1026" i="3"/>
  <c r="C75" i="4"/>
  <c r="Q391" i="3"/>
  <c r="BK4" i="7"/>
  <c r="BK5" i="7" s="1"/>
  <c r="BK6" i="7"/>
  <c r="BK7" i="7"/>
  <c r="BK8" i="7"/>
  <c r="BK9" i="7"/>
  <c r="BK15" i="7"/>
  <c r="BK22" i="7" s="1"/>
  <c r="BK35" i="7" s="1"/>
  <c r="BK16" i="7"/>
  <c r="BK17" i="7"/>
  <c r="BK18" i="7"/>
  <c r="BK19" i="7"/>
  <c r="BK20" i="7"/>
  <c r="BK21" i="7"/>
  <c r="BK24" i="7"/>
  <c r="BK26" i="7"/>
  <c r="BK27" i="7"/>
  <c r="BK28" i="7"/>
  <c r="BK29" i="7"/>
  <c r="BK30" i="7"/>
  <c r="BK31" i="7"/>
  <c r="BK32" i="7"/>
  <c r="BK33" i="7"/>
  <c r="BK40" i="7"/>
  <c r="BK41" i="7"/>
  <c r="BK42" i="7"/>
  <c r="BK43" i="7"/>
  <c r="BK53" i="7"/>
  <c r="BK54" i="7"/>
  <c r="BK55" i="7"/>
  <c r="BK58" i="7" s="1"/>
  <c r="BK56" i="7"/>
  <c r="BK57" i="7"/>
  <c r="BK68" i="7"/>
  <c r="BK69" i="7"/>
  <c r="BK70" i="7"/>
  <c r="BE4" i="7"/>
  <c r="BG4" i="7" s="1"/>
  <c r="BE6" i="7"/>
  <c r="BE7" i="7" s="1"/>
  <c r="BG6" i="7"/>
  <c r="BI6" i="7" s="1"/>
  <c r="BI7" i="7" s="1"/>
  <c r="BE8" i="7"/>
  <c r="BG8" i="7"/>
  <c r="BG9" i="7" s="1"/>
  <c r="BI8" i="7"/>
  <c r="BI9" i="7" s="1"/>
  <c r="BE9" i="7"/>
  <c r="BE15" i="7"/>
  <c r="BE22" i="7" s="1"/>
  <c r="BE35" i="7" s="1"/>
  <c r="BG15" i="7"/>
  <c r="BI15" i="7"/>
  <c r="BE16" i="7"/>
  <c r="BG16" i="7" s="1"/>
  <c r="BI16" i="7" s="1"/>
  <c r="BE17" i="7"/>
  <c r="BG17" i="7"/>
  <c r="BI17" i="7"/>
  <c r="BE18" i="7"/>
  <c r="BG18" i="7"/>
  <c r="BI18" i="7" s="1"/>
  <c r="BE19" i="7"/>
  <c r="BG19" i="7" s="1"/>
  <c r="BI19" i="7" s="1"/>
  <c r="BE20" i="7"/>
  <c r="BG20" i="7"/>
  <c r="BI20" i="7"/>
  <c r="BE21" i="7"/>
  <c r="BG21" i="7" s="1"/>
  <c r="BI21" i="7" s="1"/>
  <c r="BE24" i="7"/>
  <c r="BG24" i="7"/>
  <c r="BI24" i="7"/>
  <c r="BE26" i="7"/>
  <c r="BG26" i="7" s="1"/>
  <c r="BI26" i="7" s="1"/>
  <c r="BE27" i="7"/>
  <c r="BG27" i="7" s="1"/>
  <c r="BI27" i="7" s="1"/>
  <c r="BE28" i="7"/>
  <c r="BG28" i="7"/>
  <c r="BI28" i="7"/>
  <c r="BE29" i="7"/>
  <c r="BG29" i="7"/>
  <c r="BI29" i="7"/>
  <c r="BE30" i="7"/>
  <c r="BG30" i="7"/>
  <c r="BI30" i="7"/>
  <c r="BE31" i="7"/>
  <c r="BG31" i="7" s="1"/>
  <c r="BI31" i="7" s="1"/>
  <c r="BE32" i="7"/>
  <c r="BG32" i="7" s="1"/>
  <c r="BI32" i="7" s="1"/>
  <c r="BE33" i="7"/>
  <c r="BG33" i="7"/>
  <c r="BI33" i="7"/>
  <c r="BE40" i="7"/>
  <c r="BG40" i="7"/>
  <c r="BG43" i="7" s="1"/>
  <c r="BI40" i="7"/>
  <c r="BI43" i="7" s="1"/>
  <c r="BE41" i="7"/>
  <c r="BG41" i="7"/>
  <c r="BI41" i="7"/>
  <c r="BE42" i="7"/>
  <c r="BG42" i="7"/>
  <c r="BI42" i="7"/>
  <c r="BE43" i="7"/>
  <c r="BE53" i="7"/>
  <c r="BE58" i="7" s="1"/>
  <c r="BG53" i="7"/>
  <c r="BI53" i="7" s="1"/>
  <c r="BE54" i="7"/>
  <c r="BG54" i="7" s="1"/>
  <c r="BI54" i="7" s="1"/>
  <c r="BE55" i="7"/>
  <c r="BG55" i="7"/>
  <c r="BI55" i="7"/>
  <c r="BE56" i="7"/>
  <c r="BG56" i="7" s="1"/>
  <c r="BI56" i="7" s="1"/>
  <c r="BE57" i="7"/>
  <c r="BG57" i="7" s="1"/>
  <c r="BI57" i="7" s="1"/>
  <c r="BE68" i="7"/>
  <c r="BE70" i="7" s="1"/>
  <c r="BE69" i="7"/>
  <c r="BG69" i="7"/>
  <c r="BI69" i="7" s="1"/>
  <c r="AI4" i="7"/>
  <c r="AK4" i="7"/>
  <c r="AM4" i="7" s="1"/>
  <c r="AI5" i="7"/>
  <c r="AI6" i="7"/>
  <c r="AI7" i="7" s="1"/>
  <c r="AK6" i="7"/>
  <c r="AI8" i="7"/>
  <c r="AK8" i="7"/>
  <c r="AK9" i="7" s="1"/>
  <c r="AM8" i="7"/>
  <c r="AM9" i="7" s="1"/>
  <c r="AO8" i="7"/>
  <c r="AI9" i="7"/>
  <c r="AI15" i="7"/>
  <c r="AK15" i="7"/>
  <c r="AM15" i="7"/>
  <c r="AI16" i="7"/>
  <c r="AK16" i="7"/>
  <c r="AM16" i="7" s="1"/>
  <c r="AO16" i="7" s="1"/>
  <c r="AQ16" i="7" s="1"/>
  <c r="AS16" i="7" s="1"/>
  <c r="AU16" i="7" s="1"/>
  <c r="AW16" i="7" s="1"/>
  <c r="AY16" i="7" s="1"/>
  <c r="BA16" i="7" s="1"/>
  <c r="BC16" i="7" s="1"/>
  <c r="AI17" i="7"/>
  <c r="AK17" i="7" s="1"/>
  <c r="AI18" i="7"/>
  <c r="AK18" i="7"/>
  <c r="AM18" i="7" s="1"/>
  <c r="AO18" i="7" s="1"/>
  <c r="AQ18" i="7" s="1"/>
  <c r="AS18" i="7" s="1"/>
  <c r="AU18" i="7" s="1"/>
  <c r="AW18" i="7" s="1"/>
  <c r="AY18" i="7" s="1"/>
  <c r="BA18" i="7" s="1"/>
  <c r="BC18" i="7" s="1"/>
  <c r="AI19" i="7"/>
  <c r="AK19" i="7" s="1"/>
  <c r="AM19" i="7" s="1"/>
  <c r="AO19" i="7" s="1"/>
  <c r="AQ19" i="7" s="1"/>
  <c r="AS19" i="7" s="1"/>
  <c r="AU19" i="7" s="1"/>
  <c r="AW19" i="7" s="1"/>
  <c r="AY19" i="7" s="1"/>
  <c r="BA19" i="7" s="1"/>
  <c r="BC19" i="7" s="1"/>
  <c r="AI20" i="7"/>
  <c r="AK20" i="7"/>
  <c r="AM20" i="7"/>
  <c r="AO20" i="7"/>
  <c r="AQ20" i="7" s="1"/>
  <c r="AS20" i="7" s="1"/>
  <c r="AU20" i="7" s="1"/>
  <c r="AW20" i="7" s="1"/>
  <c r="AY20" i="7" s="1"/>
  <c r="BA20" i="7" s="1"/>
  <c r="BC20" i="7" s="1"/>
  <c r="AI21" i="7"/>
  <c r="AK21" i="7" s="1"/>
  <c r="AM21" i="7" s="1"/>
  <c r="AO21" i="7" s="1"/>
  <c r="AQ21" i="7" s="1"/>
  <c r="AS21" i="7" s="1"/>
  <c r="AU21" i="7" s="1"/>
  <c r="AW21" i="7" s="1"/>
  <c r="AY21" i="7" s="1"/>
  <c r="BA21" i="7" s="1"/>
  <c r="BC21" i="7" s="1"/>
  <c r="AI24" i="7"/>
  <c r="AK24" i="7"/>
  <c r="AM24" i="7"/>
  <c r="AO24" i="7" s="1"/>
  <c r="AQ24" i="7" s="1"/>
  <c r="AS24" i="7" s="1"/>
  <c r="AU24" i="7" s="1"/>
  <c r="AW24" i="7" s="1"/>
  <c r="AY24" i="7" s="1"/>
  <c r="BA24" i="7" s="1"/>
  <c r="BC24" i="7"/>
  <c r="AI26" i="7"/>
  <c r="AK26" i="7"/>
  <c r="AM26" i="7" s="1"/>
  <c r="AO26" i="7" s="1"/>
  <c r="AQ26" i="7" s="1"/>
  <c r="AS26" i="7" s="1"/>
  <c r="AU26" i="7" s="1"/>
  <c r="AW26" i="7" s="1"/>
  <c r="AY26" i="7" s="1"/>
  <c r="BA26" i="7" s="1"/>
  <c r="BC26" i="7" s="1"/>
  <c r="AI27" i="7"/>
  <c r="AK27" i="7" s="1"/>
  <c r="AM27" i="7" s="1"/>
  <c r="AO27" i="7" s="1"/>
  <c r="AQ27" i="7" s="1"/>
  <c r="AS27" i="7" s="1"/>
  <c r="AU27" i="7" s="1"/>
  <c r="AW27" i="7" s="1"/>
  <c r="AY27" i="7" s="1"/>
  <c r="BA27" i="7" s="1"/>
  <c r="BC27" i="7" s="1"/>
  <c r="AI28" i="7"/>
  <c r="AK28" i="7"/>
  <c r="AM28" i="7"/>
  <c r="AO28" i="7"/>
  <c r="AQ28" i="7"/>
  <c r="AS28" i="7"/>
  <c r="AU28" i="7"/>
  <c r="AW28" i="7"/>
  <c r="AY28" i="7"/>
  <c r="BA28" i="7"/>
  <c r="BC28" i="7"/>
  <c r="AI29" i="7"/>
  <c r="AK29" i="7"/>
  <c r="AM29" i="7"/>
  <c r="AO29" i="7"/>
  <c r="AQ29" i="7"/>
  <c r="AS29" i="7"/>
  <c r="AU29" i="7"/>
  <c r="AW29" i="7"/>
  <c r="AY29" i="7"/>
  <c r="BA29" i="7"/>
  <c r="BC29" i="7"/>
  <c r="AI30" i="7"/>
  <c r="AK30" i="7"/>
  <c r="AM30" i="7"/>
  <c r="AO30" i="7"/>
  <c r="AQ30" i="7" s="1"/>
  <c r="AS30" i="7" s="1"/>
  <c r="AU30" i="7" s="1"/>
  <c r="AW30" i="7" s="1"/>
  <c r="AY30" i="7" s="1"/>
  <c r="BA30" i="7" s="1"/>
  <c r="BC30" i="7"/>
  <c r="AI31" i="7"/>
  <c r="AK31" i="7" s="1"/>
  <c r="AM31" i="7" s="1"/>
  <c r="AO31" i="7" s="1"/>
  <c r="AQ31" i="7" s="1"/>
  <c r="AS31" i="7" s="1"/>
  <c r="AU31" i="7" s="1"/>
  <c r="AW31" i="7"/>
  <c r="AY31" i="7" s="1"/>
  <c r="BA31" i="7" s="1"/>
  <c r="BC31" i="7" s="1"/>
  <c r="AI32" i="7"/>
  <c r="AK32" i="7"/>
  <c r="AM32" i="7" s="1"/>
  <c r="AO32" i="7" s="1"/>
  <c r="AQ32" i="7" s="1"/>
  <c r="AS32" i="7" s="1"/>
  <c r="AU32" i="7" s="1"/>
  <c r="AW32" i="7" s="1"/>
  <c r="AY32" i="7" s="1"/>
  <c r="BA32" i="7" s="1"/>
  <c r="BC32" i="7" s="1"/>
  <c r="AI33" i="7"/>
  <c r="AK33" i="7"/>
  <c r="AM33" i="7"/>
  <c r="AO33" i="7" s="1"/>
  <c r="AQ33" i="7" s="1"/>
  <c r="AS33" i="7" s="1"/>
  <c r="AU33" i="7" s="1"/>
  <c r="AW33" i="7" s="1"/>
  <c r="AY33" i="7" s="1"/>
  <c r="BA33" i="7" s="1"/>
  <c r="BC33" i="7" s="1"/>
  <c r="AI40" i="7"/>
  <c r="AK40" i="7"/>
  <c r="AK43" i="7" s="1"/>
  <c r="AM40" i="7"/>
  <c r="AO40" i="7"/>
  <c r="AQ40" i="7"/>
  <c r="AS40" i="7"/>
  <c r="AS43" i="7" s="1"/>
  <c r="AU40" i="7"/>
  <c r="AW40" i="7"/>
  <c r="AY40" i="7"/>
  <c r="BA40" i="7"/>
  <c r="BA43" i="7" s="1"/>
  <c r="BC40" i="7"/>
  <c r="AI41" i="7"/>
  <c r="AK41" i="7"/>
  <c r="AM41" i="7"/>
  <c r="AM43" i="7" s="1"/>
  <c r="AO41" i="7"/>
  <c r="AQ41" i="7"/>
  <c r="AS41" i="7"/>
  <c r="AU41" i="7"/>
  <c r="AU43" i="7" s="1"/>
  <c r="AW41" i="7"/>
  <c r="AY41" i="7"/>
  <c r="BA41" i="7"/>
  <c r="BC41" i="7"/>
  <c r="BC43" i="7" s="1"/>
  <c r="AI42" i="7"/>
  <c r="AK42" i="7"/>
  <c r="AM42" i="7"/>
  <c r="AO42" i="7"/>
  <c r="AQ42" i="7"/>
  <c r="AS42" i="7"/>
  <c r="AU42" i="7"/>
  <c r="AW42" i="7"/>
  <c r="AW43" i="7" s="1"/>
  <c r="AY42" i="7"/>
  <c r="BA42" i="7"/>
  <c r="BC42" i="7"/>
  <c r="AI43" i="7"/>
  <c r="AQ43" i="7"/>
  <c r="AY43" i="7"/>
  <c r="AI53" i="7"/>
  <c r="AK53" i="7" s="1"/>
  <c r="AI54" i="7"/>
  <c r="AK54" i="7" s="1"/>
  <c r="AM54" i="7"/>
  <c r="AO54" i="7" s="1"/>
  <c r="AQ54" i="7"/>
  <c r="AS54" i="7" s="1"/>
  <c r="AU54" i="7" s="1"/>
  <c r="AW54" i="7" s="1"/>
  <c r="AY54" i="7" s="1"/>
  <c r="BA54" i="7" s="1"/>
  <c r="BC54" i="7" s="1"/>
  <c r="AI55" i="7"/>
  <c r="AK55" i="7"/>
  <c r="AM55" i="7"/>
  <c r="AO55" i="7"/>
  <c r="AQ55" i="7" s="1"/>
  <c r="AS55" i="7" s="1"/>
  <c r="AU55" i="7" s="1"/>
  <c r="AW55" i="7"/>
  <c r="AY55" i="7" s="1"/>
  <c r="BA55" i="7" s="1"/>
  <c r="BC55" i="7" s="1"/>
  <c r="AI56" i="7"/>
  <c r="AK56" i="7" s="1"/>
  <c r="AM56" i="7" s="1"/>
  <c r="AO56" i="7" s="1"/>
  <c r="AQ56" i="7" s="1"/>
  <c r="AS56" i="7" s="1"/>
  <c r="AU56" i="7" s="1"/>
  <c r="AW56" i="7" s="1"/>
  <c r="AY56" i="7" s="1"/>
  <c r="BA56" i="7" s="1"/>
  <c r="BC56" i="7" s="1"/>
  <c r="AI57" i="7"/>
  <c r="AK57" i="7"/>
  <c r="AM57" i="7" s="1"/>
  <c r="AO57" i="7"/>
  <c r="AQ57" i="7" s="1"/>
  <c r="AS57" i="7" s="1"/>
  <c r="AU57" i="7" s="1"/>
  <c r="AW57" i="7" s="1"/>
  <c r="AY57" i="7" s="1"/>
  <c r="BA57" i="7" s="1"/>
  <c r="BC57" i="7" s="1"/>
  <c r="AI68" i="7"/>
  <c r="AI69" i="7"/>
  <c r="AK69" i="7"/>
  <c r="AM69" i="7" s="1"/>
  <c r="AO69" i="7" s="1"/>
  <c r="AQ69" i="7" s="1"/>
  <c r="AS69" i="7" s="1"/>
  <c r="AU69" i="7" s="1"/>
  <c r="AW69" i="7" s="1"/>
  <c r="AY69" i="7" s="1"/>
  <c r="BA69" i="7" s="1"/>
  <c r="BC69" i="7" s="1"/>
  <c r="W62" i="7"/>
  <c r="Y62" i="7"/>
  <c r="U62" i="7"/>
  <c r="S62" i="7"/>
  <c r="E74" i="7"/>
  <c r="G74" i="7" s="1"/>
  <c r="I74" i="7" s="1"/>
  <c r="K74" i="7" s="1"/>
  <c r="M74" i="7" s="1"/>
  <c r="O74" i="7" s="1"/>
  <c r="Q74" i="7" s="1"/>
  <c r="S74" i="7" s="1"/>
  <c r="U74" i="7" s="1"/>
  <c r="BK11" i="7" l="1"/>
  <c r="BK37" i="7" s="1"/>
  <c r="BI58" i="7"/>
  <c r="BI22" i="7"/>
  <c r="BI35" i="7" s="1"/>
  <c r="BG22" i="7"/>
  <c r="BG35" i="7" s="1"/>
  <c r="BI4" i="7"/>
  <c r="BG5" i="7"/>
  <c r="BG11" i="7" s="1"/>
  <c r="BG37" i="7" s="1"/>
  <c r="BG68" i="7"/>
  <c r="BE5" i="7"/>
  <c r="BE11" i="7" s="1"/>
  <c r="BE37" i="7" s="1"/>
  <c r="BG7" i="7"/>
  <c r="BG58" i="7"/>
  <c r="AM53" i="7"/>
  <c r="AK58" i="7"/>
  <c r="AO4" i="7"/>
  <c r="AM5" i="7"/>
  <c r="AK22" i="7"/>
  <c r="AK35" i="7" s="1"/>
  <c r="AM17" i="7"/>
  <c r="AO17" i="7" s="1"/>
  <c r="AQ17" i="7" s="1"/>
  <c r="AS17" i="7" s="1"/>
  <c r="AU17" i="7" s="1"/>
  <c r="AW17" i="7" s="1"/>
  <c r="AY17" i="7" s="1"/>
  <c r="BA17" i="7" s="1"/>
  <c r="BC17" i="7" s="1"/>
  <c r="AO43" i="7"/>
  <c r="AM6" i="7"/>
  <c r="AK7" i="7"/>
  <c r="AI58" i="7"/>
  <c r="AI22" i="7"/>
  <c r="AI35" i="7" s="1"/>
  <c r="AO15" i="7"/>
  <c r="AQ8" i="7"/>
  <c r="AO9" i="7"/>
  <c r="AI70" i="7"/>
  <c r="AK68" i="7"/>
  <c r="AI11" i="7"/>
  <c r="AK5" i="7"/>
  <c r="BK49" i="7" l="1"/>
  <c r="BK45" i="7"/>
  <c r="BG45" i="7"/>
  <c r="BG49" i="7"/>
  <c r="BE45" i="7"/>
  <c r="BE49" i="7"/>
  <c r="BG70" i="7"/>
  <c r="BI68" i="7"/>
  <c r="BI70" i="7" s="1"/>
  <c r="BI11" i="7"/>
  <c r="BI37" i="7" s="1"/>
  <c r="BI5" i="7"/>
  <c r="AM22" i="7"/>
  <c r="AM35" i="7" s="1"/>
  <c r="AK70" i="7"/>
  <c r="AM68" i="7"/>
  <c r="AQ15" i="7"/>
  <c r="AO22" i="7"/>
  <c r="AO35" i="7" s="1"/>
  <c r="AO6" i="7"/>
  <c r="AM7" i="7"/>
  <c r="AM11" i="7" s="1"/>
  <c r="AM37" i="7" s="1"/>
  <c r="AS8" i="7"/>
  <c r="AQ9" i="7"/>
  <c r="AK11" i="7"/>
  <c r="AK37" i="7" s="1"/>
  <c r="AO53" i="7"/>
  <c r="AM58" i="7"/>
  <c r="AI37" i="7"/>
  <c r="AQ4" i="7"/>
  <c r="AO5" i="7"/>
  <c r="BK48" i="7" l="1"/>
  <c r="BK47" i="7"/>
  <c r="BK60" i="7"/>
  <c r="BK72" i="7" s="1"/>
  <c r="BI49" i="7"/>
  <c r="BI45" i="7"/>
  <c r="BG48" i="7"/>
  <c r="BG60" i="7"/>
  <c r="BG72" i="7" s="1"/>
  <c r="BG47" i="7"/>
  <c r="BE48" i="7"/>
  <c r="BE60" i="7"/>
  <c r="BE72" i="7" s="1"/>
  <c r="BE47" i="7"/>
  <c r="AM45" i="7"/>
  <c r="AM49" i="7"/>
  <c r="AS4" i="7"/>
  <c r="AQ5" i="7"/>
  <c r="AS15" i="7"/>
  <c r="AQ22" i="7"/>
  <c r="AQ35" i="7" s="1"/>
  <c r="AO58" i="7"/>
  <c r="AQ53" i="7"/>
  <c r="AO68" i="7"/>
  <c r="AM70" i="7"/>
  <c r="AK49" i="7"/>
  <c r="AK45" i="7"/>
  <c r="AI45" i="7"/>
  <c r="AI49" i="7"/>
  <c r="AQ6" i="7"/>
  <c r="AO7" i="7"/>
  <c r="AO11" i="7" s="1"/>
  <c r="AO37" i="7" s="1"/>
  <c r="AU8" i="7"/>
  <c r="AS9" i="7"/>
  <c r="BI47" i="7" l="1"/>
  <c r="BI48" i="7"/>
  <c r="BI60" i="7"/>
  <c r="BI72" i="7" s="1"/>
  <c r="AQ11" i="7"/>
  <c r="AQ37" i="7" s="1"/>
  <c r="AO45" i="7"/>
  <c r="AO49" i="7"/>
  <c r="AS6" i="7"/>
  <c r="AQ7" i="7"/>
  <c r="AW8" i="7"/>
  <c r="AU9" i="7"/>
  <c r="AM48" i="7"/>
  <c r="AM60" i="7"/>
  <c r="AM72" i="7" s="1"/>
  <c r="AM47" i="7"/>
  <c r="AI48" i="7"/>
  <c r="AI60" i="7"/>
  <c r="AI72" i="7" s="1"/>
  <c r="AI47" i="7"/>
  <c r="AO70" i="7"/>
  <c r="AQ68" i="7"/>
  <c r="AQ58" i="7"/>
  <c r="AS53" i="7"/>
  <c r="AU15" i="7"/>
  <c r="AS22" i="7"/>
  <c r="AS35" i="7" s="1"/>
  <c r="AK48" i="7"/>
  <c r="AK60" i="7"/>
  <c r="AK72" i="7" s="1"/>
  <c r="AK47" i="7"/>
  <c r="AS5" i="7"/>
  <c r="AU4" i="7"/>
  <c r="AU5" i="7" l="1"/>
  <c r="AW4" i="7"/>
  <c r="AY8" i="7"/>
  <c r="AW9" i="7"/>
  <c r="AQ45" i="7"/>
  <c r="AQ49" i="7"/>
  <c r="AS68" i="7"/>
  <c r="AQ70" i="7"/>
  <c r="AU6" i="7"/>
  <c r="AS7" i="7"/>
  <c r="AS11" i="7" s="1"/>
  <c r="AS37" i="7" s="1"/>
  <c r="AS58" i="7"/>
  <c r="AU53" i="7"/>
  <c r="AU22" i="7"/>
  <c r="AU35" i="7" s="1"/>
  <c r="AW15" i="7"/>
  <c r="AO47" i="7"/>
  <c r="AO60" i="7"/>
  <c r="AO72" i="7" s="1"/>
  <c r="AO48" i="7"/>
  <c r="AW22" i="7" l="1"/>
  <c r="AW35" i="7" s="1"/>
  <c r="AY15" i="7"/>
  <c r="AQ47" i="7"/>
  <c r="AQ48" i="7"/>
  <c r="AQ60" i="7"/>
  <c r="AQ72" i="7" s="1"/>
  <c r="AU68" i="7"/>
  <c r="AS70" i="7"/>
  <c r="AU58" i="7"/>
  <c r="AW53" i="7"/>
  <c r="BA8" i="7"/>
  <c r="AY9" i="7"/>
  <c r="AS49" i="7"/>
  <c r="AS45" i="7"/>
  <c r="AY4" i="7"/>
  <c r="AW5" i="7"/>
  <c r="AW6" i="7"/>
  <c r="AU7" i="7"/>
  <c r="AU11" i="7" s="1"/>
  <c r="AU37" i="7" s="1"/>
  <c r="AW11" i="7" l="1"/>
  <c r="AW37" i="7" s="1"/>
  <c r="AW68" i="7"/>
  <c r="AU70" i="7"/>
  <c r="BA4" i="7"/>
  <c r="AY5" i="7"/>
  <c r="AS47" i="7"/>
  <c r="AS48" i="7"/>
  <c r="AS60" i="7"/>
  <c r="AS72" i="7" s="1"/>
  <c r="AU45" i="7"/>
  <c r="AU49" i="7"/>
  <c r="BA9" i="7"/>
  <c r="BC8" i="7"/>
  <c r="BC9" i="7" s="1"/>
  <c r="AY22" i="7"/>
  <c r="AY35" i="7" s="1"/>
  <c r="BA15" i="7"/>
  <c r="AW7" i="7"/>
  <c r="AY6" i="7"/>
  <c r="AW58" i="7"/>
  <c r="AY53" i="7"/>
  <c r="AW45" i="7" l="1"/>
  <c r="AW49" i="7"/>
  <c r="AY7" i="7"/>
  <c r="BA6" i="7"/>
  <c r="BA22" i="7"/>
  <c r="BA35" i="7" s="1"/>
  <c r="BC15" i="7"/>
  <c r="BC22" i="7" s="1"/>
  <c r="BC35" i="7" s="1"/>
  <c r="AY11" i="7"/>
  <c r="AY37" i="7" s="1"/>
  <c r="BC4" i="7"/>
  <c r="BA5" i="7"/>
  <c r="AY58" i="7"/>
  <c r="BA53" i="7"/>
  <c r="AU60" i="7"/>
  <c r="AU72" i="7" s="1"/>
  <c r="AU48" i="7"/>
  <c r="AU47" i="7"/>
  <c r="AW70" i="7"/>
  <c r="AY68" i="7"/>
  <c r="AY70" i="7" l="1"/>
  <c r="BA68" i="7"/>
  <c r="BC5" i="7"/>
  <c r="BC11" i="7" s="1"/>
  <c r="BC37" i="7" s="1"/>
  <c r="BC6" i="7"/>
  <c r="BC7" i="7" s="1"/>
  <c r="BA7" i="7"/>
  <c r="BA11" i="7" s="1"/>
  <c r="BA37" i="7" s="1"/>
  <c r="AW47" i="7"/>
  <c r="AW48" i="7"/>
  <c r="AW60" i="7"/>
  <c r="AW72" i="7" s="1"/>
  <c r="BC53" i="7"/>
  <c r="BC58" i="7" s="1"/>
  <c r="BA58" i="7"/>
  <c r="AY45" i="7"/>
  <c r="AY49" i="7"/>
  <c r="BC45" i="7" l="1"/>
  <c r="BC49" i="7"/>
  <c r="BA49" i="7"/>
  <c r="BA45" i="7"/>
  <c r="AY48" i="7"/>
  <c r="AY60" i="7"/>
  <c r="AY72" i="7" s="1"/>
  <c r="AY47" i="7"/>
  <c r="BA70" i="7"/>
  <c r="BC68" i="7"/>
  <c r="BC70" i="7" s="1"/>
  <c r="BA48" i="7" l="1"/>
  <c r="BA60" i="7"/>
  <c r="BA72" i="7" s="1"/>
  <c r="BA47" i="7"/>
  <c r="BC48" i="7"/>
  <c r="BC60" i="7"/>
  <c r="BC72" i="7" s="1"/>
  <c r="BC47" i="7"/>
  <c r="U209" i="27" l="1"/>
  <c r="AL37" i="27"/>
  <c r="AP37" i="27" s="1"/>
  <c r="Z37" i="27"/>
  <c r="R37" i="27"/>
  <c r="AD36" i="27"/>
  <c r="Z36" i="27"/>
  <c r="S99" i="4"/>
  <c r="S89" i="4"/>
  <c r="S86" i="4"/>
  <c r="S85" i="4"/>
  <c r="S80" i="4"/>
  <c r="S79" i="4"/>
  <c r="S66" i="4"/>
  <c r="S65" i="4"/>
  <c r="S53" i="4"/>
  <c r="S52" i="4"/>
  <c r="S51" i="4"/>
  <c r="S50" i="4"/>
  <c r="S46" i="4"/>
  <c r="S43" i="4"/>
  <c r="S41" i="4"/>
  <c r="S40" i="4"/>
  <c r="S37" i="4"/>
  <c r="S35" i="4"/>
  <c r="S33" i="4"/>
  <c r="S32" i="4"/>
  <c r="S31" i="4"/>
  <c r="S30" i="4"/>
  <c r="S29" i="4"/>
  <c r="I30" i="4"/>
  <c r="C80" i="4"/>
  <c r="G80" i="4" s="1"/>
  <c r="G79" i="4"/>
  <c r="F79" i="4"/>
  <c r="C79" i="4"/>
  <c r="E89" i="4"/>
  <c r="F88" i="4"/>
  <c r="F86" i="4"/>
  <c r="C85" i="4"/>
  <c r="F83" i="4"/>
  <c r="F75" i="4"/>
  <c r="F72" i="4"/>
  <c r="C61" i="4"/>
  <c r="F61" i="4" s="1"/>
  <c r="F56" i="4"/>
  <c r="F69" i="4"/>
  <c r="F66" i="4"/>
  <c r="C65" i="4"/>
  <c r="F65" i="4" s="1"/>
  <c r="F53" i="4"/>
  <c r="F52" i="4"/>
  <c r="F51" i="4"/>
  <c r="F50" i="4"/>
  <c r="F46" i="4"/>
  <c r="F45" i="4"/>
  <c r="F43" i="4"/>
  <c r="F41" i="4"/>
  <c r="F40" i="4"/>
  <c r="F37" i="4"/>
  <c r="F35" i="4"/>
  <c r="F33" i="4"/>
  <c r="F32" i="4"/>
  <c r="F31" i="4"/>
  <c r="C30" i="4"/>
  <c r="F30" i="4" s="1"/>
  <c r="E29" i="4"/>
  <c r="F6" i="4"/>
  <c r="F4" i="4"/>
  <c r="AA933" i="3"/>
  <c r="AA917" i="3"/>
  <c r="W871" i="3"/>
  <c r="Z816" i="3"/>
  <c r="AC729" i="3"/>
  <c r="AC733" i="3" s="1"/>
  <c r="AC737" i="3" s="1"/>
  <c r="AC728" i="3"/>
  <c r="AC732" i="3" s="1"/>
  <c r="AC736" i="3" s="1"/>
  <c r="AC727" i="3"/>
  <c r="AC731" i="3" s="1"/>
  <c r="AC735" i="3" s="1"/>
  <c r="AC725" i="3"/>
  <c r="AC724" i="3"/>
  <c r="AC723" i="3"/>
  <c r="AC722" i="3"/>
  <c r="AC726" i="3" s="1"/>
  <c r="AC730" i="3" s="1"/>
  <c r="AC734" i="3" s="1"/>
  <c r="T736" i="3"/>
  <c r="T737" i="3" s="1"/>
  <c r="T735" i="3"/>
  <c r="K735" i="3"/>
  <c r="K736" i="3" s="1"/>
  <c r="K737" i="3" s="1"/>
  <c r="K732" i="3"/>
  <c r="K733" i="3" s="1"/>
  <c r="T731" i="3"/>
  <c r="T732" i="3" s="1"/>
  <c r="T733" i="3" s="1"/>
  <c r="K731" i="3"/>
  <c r="T727" i="3"/>
  <c r="T728" i="3" s="1"/>
  <c r="T729" i="3" s="1"/>
  <c r="K727" i="3"/>
  <c r="K728" i="3" s="1"/>
  <c r="K729" i="3" s="1"/>
  <c r="T725" i="3"/>
  <c r="T724" i="3"/>
  <c r="T723" i="3"/>
  <c r="K723" i="3"/>
  <c r="K724" i="3" s="1"/>
  <c r="K725" i="3" s="1"/>
  <c r="K721" i="3"/>
  <c r="T720" i="3"/>
  <c r="T721" i="3" s="1"/>
  <c r="K720" i="3"/>
  <c r="T719" i="3"/>
  <c r="K719" i="3"/>
  <c r="AM554" i="3"/>
  <c r="AA297" i="3"/>
  <c r="AA296" i="3"/>
  <c r="L65" i="21"/>
  <c r="G85" i="4" l="1"/>
  <c r="F85" i="4"/>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5" i="11" s="1"/>
  <c r="D105" i="11" s="1"/>
  <c r="C102" i="11"/>
  <c r="C103" i="11"/>
  <c r="C104" i="11"/>
  <c r="B101" i="11"/>
  <c r="B102" i="11"/>
  <c r="B103" i="11"/>
  <c r="B104" i="11"/>
  <c r="C85" i="11"/>
  <c r="C86" i="11"/>
  <c r="C87" i="11"/>
  <c r="C88" i="11"/>
  <c r="C89" i="11"/>
  <c r="C90" i="11"/>
  <c r="C91" i="11"/>
  <c r="C92" i="11"/>
  <c r="C93" i="11"/>
  <c r="D93" i="11" s="1"/>
  <c r="C94" i="11"/>
  <c r="C95" i="11"/>
  <c r="C96" i="11"/>
  <c r="B85" i="11"/>
  <c r="B86" i="11"/>
  <c r="B87" i="11"/>
  <c r="D87" i="11" s="1"/>
  <c r="B88" i="11"/>
  <c r="B89" i="11"/>
  <c r="B90" i="11"/>
  <c r="B91" i="11"/>
  <c r="B92" i="11"/>
  <c r="B93" i="11"/>
  <c r="B94" i="11"/>
  <c r="B95" i="11"/>
  <c r="D95" i="11" s="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2" i="11" s="1"/>
  <c r="D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4" i="4" s="1"/>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C9"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D46" i="11" s="1"/>
  <c r="C46" i="11"/>
  <c r="B47" i="11"/>
  <c r="C47" i="11"/>
  <c r="B48" i="11"/>
  <c r="B49" i="11"/>
  <c r="B50" i="11"/>
  <c r="B51" i="11"/>
  <c r="D51" i="11"/>
  <c r="B52" i="11"/>
  <c r="B53" i="11"/>
  <c r="C48" i="11"/>
  <c r="C49" i="11"/>
  <c r="C50" i="11"/>
  <c r="C51" i="11"/>
  <c r="C52" i="11"/>
  <c r="C53" i="11"/>
  <c r="C55" i="11" s="1"/>
  <c r="B57" i="11"/>
  <c r="C57" i="11"/>
  <c r="B58" i="11"/>
  <c r="C58" i="11"/>
  <c r="B59" i="11"/>
  <c r="C59" i="11"/>
  <c r="D59" i="11" s="1"/>
  <c r="B60" i="11"/>
  <c r="C60" i="11"/>
  <c r="B61" i="11"/>
  <c r="C61" i="11"/>
  <c r="B62" i="11"/>
  <c r="C62" i="11"/>
  <c r="B66" i="11"/>
  <c r="C66" i="11"/>
  <c r="C71" i="11" s="1"/>
  <c r="B73" i="11"/>
  <c r="C73" i="11"/>
  <c r="B74" i="11"/>
  <c r="C74" i="11"/>
  <c r="B75" i="11"/>
  <c r="C75" i="11"/>
  <c r="B76" i="11"/>
  <c r="B78" i="11" s="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4" s="1"/>
  <c r="B54" i="13"/>
  <c r="C62" i="4"/>
  <c r="B62" i="13" s="1"/>
  <c r="C77" i="4"/>
  <c r="B77" i="13" s="1"/>
  <c r="C96" i="4"/>
  <c r="B96" i="13" s="1"/>
  <c r="B104" i="13"/>
  <c r="D8" i="4"/>
  <c r="D11" i="4"/>
  <c r="D26" i="4"/>
  <c r="D38" i="4"/>
  <c r="D42" i="4"/>
  <c r="D63" i="4" s="1"/>
  <c r="D97" i="4" s="1"/>
  <c r="D54" i="4"/>
  <c r="D62" i="4"/>
  <c r="D77" i="4"/>
  <c r="D96" i="4"/>
  <c r="D104" i="4"/>
  <c r="B104" i="4" s="1"/>
  <c r="E26" i="13"/>
  <c r="S38" i="4"/>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J63" i="13"/>
  <c r="J97" i="13"/>
  <c r="J105" i="13"/>
  <c r="J107" i="13"/>
  <c r="L12" i="4"/>
  <c r="D48" i="11"/>
  <c r="D5" i="11"/>
  <c r="D52" i="11"/>
  <c r="I12" i="4"/>
  <c r="G12" i="4"/>
  <c r="L63" i="4"/>
  <c r="L97" i="4"/>
  <c r="L105" i="4"/>
  <c r="Q12" i="4"/>
  <c r="B11" i="4"/>
  <c r="O63" i="4"/>
  <c r="O97" i="4"/>
  <c r="O105" i="4"/>
  <c r="D18" i="11"/>
  <c r="B8" i="4"/>
  <c r="N187" i="27" s="1"/>
  <c r="D10" i="11"/>
  <c r="D36" i="11"/>
  <c r="G63" i="13"/>
  <c r="G97" i="13"/>
  <c r="G105" i="13"/>
  <c r="G107" i="13"/>
  <c r="D61" i="11"/>
  <c r="D20" i="11"/>
  <c r="D8" i="11"/>
  <c r="B43" i="11"/>
  <c r="D102" i="11"/>
  <c r="D94" i="11"/>
  <c r="K12" i="4"/>
  <c r="C43" i="11"/>
  <c r="C12" i="13"/>
  <c r="D7" i="11"/>
  <c r="J12" i="4"/>
  <c r="D22" i="11"/>
  <c r="O12" i="4"/>
  <c r="D25" i="11"/>
  <c r="B11" i="13"/>
  <c r="D12" i="4"/>
  <c r="H12" i="4"/>
  <c r="C82" i="11"/>
  <c r="B9" i="11"/>
  <c r="B13" i="11" s="1"/>
  <c r="D23" i="11"/>
  <c r="D19" i="11"/>
  <c r="D89" i="11"/>
  <c r="D73" i="11"/>
  <c r="D44" i="11"/>
  <c r="D35" i="11"/>
  <c r="D31" i="11"/>
  <c r="D32" i="11"/>
  <c r="D15" i="11"/>
  <c r="D63" i="13"/>
  <c r="D97" i="13"/>
  <c r="D105" i="13"/>
  <c r="D14" i="11"/>
  <c r="Q63" i="4"/>
  <c r="Q97" i="4"/>
  <c r="Q105" i="4"/>
  <c r="N63" i="4"/>
  <c r="N97" i="4"/>
  <c r="N105" i="4"/>
  <c r="N12" i="4"/>
  <c r="H63" i="4"/>
  <c r="H97" i="4"/>
  <c r="F12" i="4"/>
  <c r="D60" i="11"/>
  <c r="M12" i="4"/>
  <c r="R8" i="4"/>
  <c r="D84" i="11"/>
  <c r="D74" i="11"/>
  <c r="D38" i="11"/>
  <c r="R42" i="4"/>
  <c r="P63" i="4"/>
  <c r="P97" i="4"/>
  <c r="P105" i="4"/>
  <c r="B38" i="4"/>
  <c r="D12" i="13"/>
  <c r="D58" i="11"/>
  <c r="D100" i="11"/>
  <c r="D62" i="11"/>
  <c r="D24" i="11"/>
  <c r="D90" i="11"/>
  <c r="D66" i="11"/>
  <c r="C63" i="13"/>
  <c r="C97" i="13"/>
  <c r="C105" i="13"/>
  <c r="D92" i="11"/>
  <c r="D75" i="11"/>
  <c r="D28" i="11"/>
  <c r="D103" i="11"/>
  <c r="D88" i="11"/>
  <c r="D42" i="11"/>
  <c r="D21" i="11"/>
  <c r="D16" i="11"/>
  <c r="B12" i="11"/>
  <c r="R26" i="4"/>
  <c r="D81" i="11"/>
  <c r="D86" i="11"/>
  <c r="F63" i="13"/>
  <c r="F97" i="13"/>
  <c r="F105" i="13"/>
  <c r="F107" i="13"/>
  <c r="AD199" i="20"/>
  <c r="R12" i="4"/>
  <c r="B42" i="4"/>
  <c r="D47" i="11"/>
  <c r="M63" i="4"/>
  <c r="M97" i="4"/>
  <c r="M105" i="4"/>
  <c r="G63" i="4"/>
  <c r="G97" i="4"/>
  <c r="G105" i="4" s="1"/>
  <c r="D91" i="11"/>
  <c r="J63" i="4"/>
  <c r="J97" i="4"/>
  <c r="J105" i="4"/>
  <c r="D41" i="11"/>
  <c r="C12" i="11"/>
  <c r="K63" i="4"/>
  <c r="K97" i="4"/>
  <c r="K105" i="4"/>
  <c r="B105" i="11"/>
  <c r="D104" i="11"/>
  <c r="E12" i="4"/>
  <c r="B96" i="4"/>
  <c r="T63" i="4"/>
  <c r="T97" i="4"/>
  <c r="D11" i="11"/>
  <c r="C12" i="4"/>
  <c r="B12" i="13" s="1"/>
  <c r="D43" i="11"/>
  <c r="D12" i="11"/>
  <c r="H63" i="13"/>
  <c r="T105" i="4"/>
  <c r="H97" i="13"/>
  <c r="D96" i="11"/>
  <c r="T107" i="4"/>
  <c r="H105" i="13"/>
  <c r="H107" i="13"/>
  <c r="AD11" i="15"/>
  <c r="AZ846" i="3"/>
  <c r="D57" i="11" l="1"/>
  <c r="B63" i="11"/>
  <c r="B62" i="4"/>
  <c r="B63" i="4" s="1"/>
  <c r="C63" i="11"/>
  <c r="D63" i="11" s="1"/>
  <c r="R38" i="4"/>
  <c r="AU188" i="27"/>
  <c r="H99" i="4"/>
  <c r="R70" i="4"/>
  <c r="C97" i="11"/>
  <c r="R96" i="4"/>
  <c r="C78" i="11"/>
  <c r="D78" i="11" s="1"/>
  <c r="D76" i="11"/>
  <c r="R77" i="4"/>
  <c r="G67" i="21"/>
  <c r="S63" i="4"/>
  <c r="E63" i="13" s="1"/>
  <c r="E38" i="13"/>
  <c r="D101" i="11"/>
  <c r="D105" i="4"/>
  <c r="D80" i="11"/>
  <c r="N186" i="27"/>
  <c r="D85" i="11"/>
  <c r="B97" i="11"/>
  <c r="D97" i="11" s="1"/>
  <c r="N193" i="27"/>
  <c r="R62" i="4"/>
  <c r="R63" i="4" s="1"/>
  <c r="F63" i="4"/>
  <c r="F97" i="4" s="1"/>
  <c r="F105" i="4" s="1"/>
  <c r="B71" i="11"/>
  <c r="D71" i="11" s="1"/>
  <c r="B55" i="11"/>
  <c r="D55" i="11" s="1"/>
  <c r="D53" i="11"/>
  <c r="E63" i="4"/>
  <c r="E97" i="4" s="1"/>
  <c r="C39" i="11"/>
  <c r="D39" i="11" s="1"/>
  <c r="C13" i="11"/>
  <c r="D13" i="11" s="1"/>
  <c r="D9" i="11"/>
  <c r="D6" i="11"/>
  <c r="B12" i="4"/>
  <c r="Q30" i="21" a="1"/>
  <c r="Q30" i="21"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AY1004"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M558" i="3" l="1"/>
  <c r="AM566" i="3" s="1"/>
  <c r="E99" i="4"/>
  <c r="H104" i="4"/>
  <c r="H105" i="4" s="1"/>
  <c r="R97" i="4"/>
  <c r="S97" i="4"/>
  <c r="E97" i="13" s="1"/>
  <c r="C97" i="4"/>
  <c r="C105" i="4" s="1"/>
  <c r="BH702" i="3"/>
  <c r="BH701" i="3"/>
  <c r="BI701" i="3" s="1"/>
  <c r="BU669" i="3"/>
  <c r="BU677" i="3"/>
  <c r="BV677" i="3" s="1"/>
  <c r="BU685" i="3"/>
  <c r="BU693" i="3"/>
  <c r="BU702" i="3"/>
  <c r="BV702" i="3" s="1"/>
  <c r="BU670" i="3"/>
  <c r="BV670" i="3" s="1"/>
  <c r="BU678" i="3"/>
  <c r="BV678" i="3" s="1"/>
  <c r="BU686" i="3"/>
  <c r="BV686" i="3" s="1"/>
  <c r="BU694" i="3"/>
  <c r="BV694" i="3" s="1"/>
  <c r="BU668" i="3"/>
  <c r="BV668" i="3" s="1"/>
  <c r="BU671" i="3"/>
  <c r="BU679" i="3"/>
  <c r="BU687" i="3"/>
  <c r="BU695" i="3"/>
  <c r="BV695" i="3" s="1"/>
  <c r="BU681" i="3"/>
  <c r="BV681" i="3" s="1"/>
  <c r="BU689" i="3"/>
  <c r="BU698" i="3"/>
  <c r="BV698" i="3" s="1"/>
  <c r="BU684" i="3"/>
  <c r="BV684" i="3" s="1"/>
  <c r="BU700" i="3"/>
  <c r="BU672" i="3"/>
  <c r="BU680" i="3"/>
  <c r="BU688" i="3"/>
  <c r="BV688" i="3" s="1"/>
  <c r="BU696" i="3"/>
  <c r="BV696" i="3" s="1"/>
  <c r="BU673" i="3"/>
  <c r="BU697" i="3"/>
  <c r="BV697" i="3" s="1"/>
  <c r="BU674" i="3"/>
  <c r="BU682" i="3"/>
  <c r="BU690" i="3"/>
  <c r="BU676" i="3"/>
  <c r="BU692" i="3"/>
  <c r="BV692" i="3" s="1"/>
  <c r="BU675" i="3"/>
  <c r="BV675" i="3" s="1"/>
  <c r="BU683" i="3"/>
  <c r="BU691" i="3"/>
  <c r="BV691" i="3" s="1"/>
  <c r="BU699" i="3"/>
  <c r="BV699" i="3" s="1"/>
  <c r="BH674" i="3"/>
  <c r="BH675" i="3"/>
  <c r="BH683" i="3"/>
  <c r="BI683" i="3" s="1"/>
  <c r="BH691" i="3"/>
  <c r="BI691" i="3" s="1"/>
  <c r="BH699" i="3"/>
  <c r="BI699" i="3" s="1"/>
  <c r="BH676" i="3"/>
  <c r="BH684" i="3"/>
  <c r="BH692" i="3"/>
  <c r="BI692" i="3" s="1"/>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H695" i="3"/>
  <c r="BI695" i="3" s="1"/>
  <c r="BH680" i="3"/>
  <c r="BI680" i="3" s="1"/>
  <c r="BH682" i="3"/>
  <c r="BI682" i="3" s="1"/>
  <c r="BH698" i="3"/>
  <c r="BI698" i="3" s="1"/>
  <c r="BH673" i="3"/>
  <c r="BH681" i="3"/>
  <c r="BH689" i="3"/>
  <c r="BI689" i="3" s="1"/>
  <c r="BH697" i="3"/>
  <c r="BI697" i="3" s="1"/>
  <c r="E22" i="7"/>
  <c r="BI702" i="3"/>
  <c r="BI679" i="3"/>
  <c r="BI700" i="3"/>
  <c r="AX683" i="20"/>
  <c r="AY684" i="20" s="1"/>
  <c r="I14" i="21"/>
  <c r="BV700" i="3"/>
  <c r="BV693"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BV669"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EH637" i="3"/>
  <c r="DR657" i="3"/>
  <c r="EM632" i="3"/>
  <c r="EM635" i="3"/>
  <c r="BI676" i="3"/>
  <c r="EM643" i="3"/>
  <c r="E6" i="7"/>
  <c r="K15" i="7"/>
  <c r="I22" i="7"/>
  <c r="I35" i="7" s="1"/>
  <c r="E27" i="21"/>
  <c r="G22" i="21"/>
  <c r="AU189" i="27" l="1"/>
  <c r="R99" i="4"/>
  <c r="R104" i="4" s="1"/>
  <c r="R105" i="4" s="1"/>
  <c r="E104" i="4"/>
  <c r="E105" i="4" s="1"/>
  <c r="AC455" i="3"/>
  <c r="AO640" i="3"/>
  <c r="S105" i="4"/>
  <c r="E105" i="13" s="1"/>
  <c r="B105" i="13"/>
  <c r="B105" i="4"/>
  <c r="AC454" i="3" s="1"/>
  <c r="F457" i="3" s="1"/>
  <c r="B97" i="13"/>
  <c r="B97" i="4"/>
  <c r="AG258" i="20"/>
  <c r="O25" i="21"/>
  <c r="P25" i="21" s="1" a="1"/>
  <c r="P25" i="21" s="1"/>
  <c r="R25" i="21" s="1"/>
  <c r="O31" i="21"/>
  <c r="P31" i="21" s="1" a="1"/>
  <c r="P31" i="21" s="1"/>
  <c r="R31" i="21" s="1"/>
  <c r="O32" i="21"/>
  <c r="P32" i="21" s="1" a="1"/>
  <c r="P32" i="21" s="1"/>
  <c r="R32" i="21" s="1"/>
  <c r="O33" i="21"/>
  <c r="P33" i="21" s="1" a="1"/>
  <c r="P33" i="21" s="1"/>
  <c r="R33" i="21" s="1"/>
  <c r="O24" i="21"/>
  <c r="P24" i="21" s="1" a="1"/>
  <c r="P24" i="21" s="1"/>
  <c r="R24" i="21" s="1"/>
  <c r="O28" i="21"/>
  <c r="P28" i="21" s="1" a="1"/>
  <c r="P28" i="21" s="1"/>
  <c r="R28" i="21" s="1"/>
  <c r="O35" i="21"/>
  <c r="P35" i="21" s="1" a="1"/>
  <c r="P35" i="21" s="1"/>
  <c r="R35" i="21" s="1"/>
  <c r="O38" i="21"/>
  <c r="P38" i="21" s="1" a="1"/>
  <c r="P38" i="21" s="1"/>
  <c r="R38" i="21" s="1"/>
  <c r="O36" i="21"/>
  <c r="P36" i="21" s="1" a="1"/>
  <c r="P36" i="21" s="1"/>
  <c r="R36" i="21" s="1"/>
  <c r="O37" i="21"/>
  <c r="P37" i="21" s="1" a="1"/>
  <c r="P37" i="21" s="1"/>
  <c r="R37" i="21" s="1"/>
  <c r="O26" i="21"/>
  <c r="P26" i="21" s="1" a="1"/>
  <c r="P26" i="21" s="1"/>
  <c r="R26" i="21" s="1"/>
  <c r="O29" i="21"/>
  <c r="P29" i="21" s="1" a="1"/>
  <c r="P29" i="21" s="1"/>
  <c r="R29" i="21" s="1"/>
  <c r="O27" i="21"/>
  <c r="P27" i="21" s="1" a="1"/>
  <c r="P27" i="21" s="1"/>
  <c r="R27" i="21" s="1"/>
  <c r="O39" i="21"/>
  <c r="P39" i="21" s="1" a="1"/>
  <c r="P39" i="21" s="1"/>
  <c r="R39" i="21" s="1"/>
  <c r="O34" i="21"/>
  <c r="P34" i="21" s="1" a="1"/>
  <c r="P34" i="21" s="1"/>
  <c r="R34" i="21" s="1"/>
  <c r="O30" i="21"/>
  <c r="P30" i="21" s="1" a="1"/>
  <c r="P30" i="21" s="1"/>
  <c r="R30"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Y209" i="27" l="1"/>
  <c r="AU185" i="27"/>
  <c r="AU190" i="27"/>
  <c r="AC207" i="27" s="1"/>
  <c r="N183" i="27"/>
  <c r="N184" i="27" s="1"/>
  <c r="AB47" i="15"/>
  <c r="AB49" i="15" s="1"/>
  <c r="AB54" i="15" s="1"/>
  <c r="AB55" i="15" s="1"/>
  <c r="E108" i="4"/>
  <c r="AO641" i="3"/>
  <c r="AB255" i="20"/>
  <c r="AG257" i="20" s="1"/>
  <c r="AG259" i="20" s="1"/>
  <c r="AK262" i="20" s="1"/>
  <c r="T801" i="20" s="1"/>
  <c r="AF801" i="20" s="1"/>
  <c r="S107"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C209" i="27"/>
  <c r="AC456" i="3"/>
  <c r="AE699" i="3"/>
  <c r="E107" i="13"/>
  <c r="AF540" i="20"/>
  <c r="T11" i="15"/>
  <c r="T23" i="15" s="1"/>
  <c r="T26" i="15" s="1"/>
  <c r="T28" i="15" s="1"/>
  <c r="Y11" i="15"/>
  <c r="Y23" i="15" s="1"/>
  <c r="Y26" i="15" s="1"/>
  <c r="Y28" i="15" s="1"/>
  <c r="Y64" i="15" s="1"/>
  <c r="Y68"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29" i="15" l="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D8D4BB67-1A19-4FA5-8579-5A7A94061ED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<sst xmlns="http://schemas.openxmlformats.org/spreadsheetml/2006/main" count="5336" uniqueCount="2801">
  <si>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</si>
  <si>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</si>
  <si>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</si>
  <si>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</si>
  <si>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</si>
  <si>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</si>
  <si>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</si>
  <si>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</si>
  <si>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</si>
  <si>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</si>
  <si>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</si>
  <si>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</si>
  <si>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</si>
  <si>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</si>
  <si>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</si>
  <si>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</si>
  <si>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</si>
  <si>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</si>
  <si>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</si>
  <si>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</si>
  <si>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</si>
  <si>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</si>
  <si>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</si>
  <si>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</si>
  <si>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</si>
  <si>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</si>
  <si>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</si>
  <si>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</si>
  <si>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</si>
  <si>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</si>
  <si>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</si>
  <si>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</si>
  <si>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</si>
  <si>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</si>
  <si>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</si>
  <si>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</si>
  <si>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</si>
  <si>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</si>
  <si>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</si>
  <si>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</si>
  <si>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</si>
  <si>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</si>
  <si>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</si>
  <si>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</si>
  <si>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</si>
  <si>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</si>
  <si>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</si>
  <si>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</si>
  <si>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</si>
  <si>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</si>
  <si>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</si>
  <si>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</si>
  <si>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</si>
  <si>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</si>
  <si>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</si>
  <si>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</si>
  <si>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</si>
  <si>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</si>
  <si>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</si>
  <si>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</si>
  <si>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</si>
  <si>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</si>
  <si>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</si>
  <si>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</si>
  <si>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</si>
  <si>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</si>
  <si>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</si>
  <si>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</si>
  <si>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</si>
  <si>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</si>
  <si>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</si>
  <si>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</si>
  <si>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</si>
  <si>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</si>
  <si>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</si>
  <si>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</si>
  <si>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</si>
  <si>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</si>
  <si>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</si>
  <si>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</si>
  <si>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</si>
  <si>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</si>
  <si>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</si>
  <si>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</si>
  <si>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</si>
  <si>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</si>
  <si>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</si>
  <si>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</si>
  <si>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</si>
  <si>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</si>
  <si>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</si>
  <si>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</si>
  <si>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</si>
  <si>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</si>
  <si>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</si>
  <si>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</si>
  <si>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</si>
  <si>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</si>
  <si>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</si>
  <si>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</si>
  <si>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</si>
  <si>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</si>
  <si>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</si>
  <si>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</si>
  <si>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</si>
  <si>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</si>
  <si>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</si>
  <si>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</si>
  <si>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</si>
  <si>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</si>
  <si>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</si>
  <si>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</si>
  <si>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</si>
  <si>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</si>
  <si>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</si>
  <si>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</si>
  <si>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</si>
  <si>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</si>
  <si>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</si>
  <si>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</si>
  <si>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</si>
  <si>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</si>
  <si>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</si>
  <si>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</si>
  <si>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</si>
  <si>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</si>
  <si>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</si>
  <si>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</si>
  <si>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</si>
  <si>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</si>
  <si>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</si>
  <si>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</si>
  <si>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</si>
  <si>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</si>
  <si>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</si>
  <si>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</si>
  <si>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</si>
  <si>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</si>
  <si>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</si>
  <si>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</si>
  <si>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</si>
  <si>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</si>
  <si>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</si>
  <si>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</si>
  <si>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</si>
  <si>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</si>
  <si>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</si>
  <si>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</si>
  <si>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</si>
  <si>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</si>
  <si>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</si>
  <si>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</si>
  <si>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</si>
  <si>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</si>
  <si>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</si>
  <si>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</si>
  <si>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</si>
  <si>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</si>
  <si>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</si>
  <si>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</si>
  <si>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</si>
  <si>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</si>
  <si>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</si>
  <si>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</si>
  <si>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</si>
  <si>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</si>
  <si>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</si>
  <si>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</si>
  <si>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</si>
  <si>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</si>
  <si>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</si>
  <si>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</si>
  <si>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</si>
  <si>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</si>
  <si>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</si>
  <si>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</si>
  <si>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</si>
  <si>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</si>
  <si>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</si>
  <si>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</si>
  <si>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</si>
  <si>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</si>
  <si>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</si>
  <si>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</si>
  <si>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</si>
  <si>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</si>
  <si>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</si>
  <si>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</si>
  <si>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</si>
  <si>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</si>
  <si>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</si>
  <si>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</si>
  <si>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</si>
  <si>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</si>
  <si>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</si>
  <si>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</si>
  <si>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</si>
  <si>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</si>
  <si>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</si>
  <si>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</si>
  <si>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</si>
  <si>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</si>
  <si>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</si>
  <si>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</si>
  <si>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</si>
  <si>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</si>
  <si>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</si>
  <si>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</si>
  <si>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</si>
  <si>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</si>
  <si>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</si>
  <si>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</si>
  <si>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</si>
  <si>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</si>
  <si>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</si>
  <si>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</si>
  <si>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</si>
  <si>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</si>
  <si>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</si>
  <si>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</si>
  <si>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</si>
  <si>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</si>
  <si>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</si>
  <si>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</si>
  <si>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</si>
  <si>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</si>
  <si>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</si>
  <si>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</si>
  <si>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</si>
  <si>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</si>
  <si>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</si>
  <si>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</si>
  <si>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</si>
  <si>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</si>
  <si>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</si>
  <si>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</si>
  <si>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</si>
  <si>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</si>
  <si>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</si>
  <si>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</si>
  <si>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</si>
  <si>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</si>
  <si>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</si>
  <si>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</si>
  <si>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</si>
  <si>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</si>
  <si>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</si>
  <si>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</si>
  <si>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</si>
  <si>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</si>
  <si>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</si>
  <si>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</si>
  <si>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</si>
  <si>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</si>
  <si>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</si>
  <si>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</si>
  <si>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</si>
  <si>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</si>
  <si>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</si>
  <si>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</si>
  <si>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</si>
  <si>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</si>
  <si>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</si>
  <si>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</si>
  <si>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</si>
  <si>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</si>
  <si>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</si>
  <si>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</si>
  <si>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</si>
  <si>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</si>
  <si>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</si>
  <si>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</si>
  <si>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</si>
  <si>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</si>
  <si>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</si>
  <si>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</si>
  <si>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</si>
  <si>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</si>
  <si>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</si>
  <si>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</si>
  <si>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</si>
  <si>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</si>
  <si>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</si>
  <si>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</si>
  <si>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</si>
  <si>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</si>
  <si>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</si>
  <si>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</si>
  <si>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</si>
  <si>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</si>
  <si>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</si>
  <si>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</si>
  <si>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</si>
  <si>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</si>
  <si>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</si>
  <si>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</si>
  <si>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</si>
  <si>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</si>
  <si>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</si>
  <si>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</si>
  <si>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</si>
  <si>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</si>
  <si>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</si>
  <si>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</si>
  <si>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</si>
  <si>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</si>
  <si>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</si>
  <si>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</si>
  <si>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</si>
  <si>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</si>
  <si>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</si>
  <si>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</si>
  <si>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</si>
  <si>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</si>
  <si>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</si>
  <si>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</si>
  <si>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</si>
  <si>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</si>
  <si>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</si>
  <si>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</si>
  <si>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</si>
  <si>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</si>
  <si>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</si>
  <si>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</si>
  <si>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</si>
  <si>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</si>
  <si>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</si>
  <si>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</si>
  <si>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</si>
  <si>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</si>
  <si>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</si>
  <si>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</si>
  <si>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</si>
  <si>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</si>
  <si>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</si>
  <si>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</si>
  <si>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</si>
  <si>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</si>
  <si>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</si>
  <si>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</si>
  <si>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</si>
  <si>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</si>
  <si>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</si>
  <si>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</si>
  <si>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</si>
  <si>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</si>
  <si>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</si>
  <si>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</si>
  <si>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</si>
  <si>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</si>
  <si>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</si>
  <si>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</si>
  <si>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</si>
  <si>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</si>
  <si>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</si>
  <si>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</si>
  <si>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</si>
  <si>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</si>
  <si>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</si>
  <si>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</si>
  <si>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</si>
  <si>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</si>
  <si>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</si>
  <si>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</si>
  <si>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</si>
  <si>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</si>
  <si>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</si>
  <si>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</si>
  <si>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</si>
  <si>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</si>
  <si>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</si>
  <si>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</si>
  <si>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</si>
  <si>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</si>
  <si>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</si>
  <si>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</si>
  <si>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</si>
  <si>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</si>
  <si>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</si>
  <si>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</si>
  <si>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</si>
  <si>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</si>
  <si>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</si>
  <si>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</si>
  <si>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</si>
  <si>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</si>
  <si>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</si>
  <si>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</si>
  <si>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</si>
  <si>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</si>
  <si>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</si>
  <si>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</si>
  <si>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</si>
  <si>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</si>
  <si>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</si>
  <si>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</si>
  <si>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</si>
  <si>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</si>
  <si>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</si>
  <si>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</si>
  <si>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</si>
  <si>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</si>
  <si>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</si>
  <si>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</si>
  <si>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</si>
  <si>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</si>
  <si>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</si>
  <si>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</si>
  <si>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</si>
  <si>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</si>
  <si>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</si>
  <si>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</si>
  <si>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</si>
  <si>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</si>
  <si>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</si>
  <si>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</si>
  <si>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</si>
  <si>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</si>
  <si>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</si>
  <si>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</si>
  <si>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</si>
  <si>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</si>
  <si>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</si>
  <si>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</si>
  <si>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</si>
  <si>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</si>
  <si>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</si>
  <si>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</si>
  <si>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</si>
  <si>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</si>
  <si>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</si>
  <si>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</si>
  <si>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</si>
  <si>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</si>
  <si>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</si>
  <si>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</si>
  <si>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</si>
  <si>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</si>
  <si>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</si>
  <si>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</si>
  <si>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</si>
  <si>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</si>
  <si>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</si>
  <si>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</si>
  <si>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</si>
  <si>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</si>
  <si>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</si>
  <si>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</si>
  <si>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</si>
  <si>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</si>
  <si>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</si>
  <si>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</si>
  <si>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</si>
  <si>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</si>
  <si>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</si>
  <si>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</si>
  <si>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</si>
  <si>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</si>
  <si>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</si>
  <si>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</si>
  <si>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</si>
  <si>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</si>
  <si>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</si>
  <si>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</si>
  <si>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</si>
  <si>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</si>
  <si>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</si>
  <si>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</si>
  <si>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</si>
  <si>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</si>
  <si>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</si>
  <si>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</si>
  <si>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</si>
  <si>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</si>
  <si>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</si>
  <si>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</si>
  <si>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</si>
  <si>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</si>
  <si>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</si>
  <si>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</si>
  <si>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</si>
  <si>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</si>
  <si>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</si>
  <si>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</si>
  <si>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</si>
  <si>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</si>
  <si>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</si>
  <si>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</si>
  <si>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</si>
  <si>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</si>
  <si>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</si>
  <si>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</si>
  <si>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</si>
  <si>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</si>
  <si>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</si>
  <si>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</si>
  <si>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</si>
  <si>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</si>
  <si>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</si>
  <si>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</si>
  <si>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</si>
  <si>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</si>
  <si>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</si>
  <si>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</si>
  <si>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</si>
  <si>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</si>
  <si>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</si>
  <si>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</si>
  <si>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</si>
  <si>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</si>
  <si>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</si>
  <si>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</si>
  <si>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</si>
  <si>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</si>
  <si>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</si>
  <si>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</si>
  <si>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</si>
  <si>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</si>
  <si>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</si>
  <si>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</si>
  <si>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</si>
  <si>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</si>
  <si>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</si>
  <si>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</si>
  <si>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</si>
  <si>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</si>
  <si>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</si>
  <si>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</si>
  <si>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</si>
  <si>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</si>
  <si>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</si>
  <si>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</si>
  <si>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</si>
  <si>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</si>
  <si>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</si>
  <si>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</si>
  <si>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</si>
  <si>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</si>
  <si>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</si>
  <si>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</si>
  <si>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</si>
  <si>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</si>
  <si>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</si>
  <si>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</si>
  <si>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</si>
  <si>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</si>
  <si>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</si>
  <si>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</si>
  <si>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</si>
  <si>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</si>
  <si>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</si>
  <si>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</si>
  <si>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</si>
  <si>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</si>
  <si>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</si>
  <si>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</si>
  <si>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</si>
  <si>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</si>
  <si>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</si>
  <si>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</si>
  <si>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</si>
  <si>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</si>
  <si>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</si>
  <si>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</si>
  <si>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</si>
  <si>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</si>
  <si>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</si>
  <si>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</si>
  <si>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</si>
  <si>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</si>
  <si>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</si>
  <si>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</si>
  <si>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</si>
  <si>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</si>
  <si>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</si>
  <si>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</si>
  <si>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</si>
  <si>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</si>
  <si>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</si>
  <si>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</si>
  <si>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</si>
  <si>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</si>
  <si>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</si>
  <si>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</si>
  <si>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</si>
  <si>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</si>
  <si>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</si>
  <si>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</si>
  <si>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</si>
  <si>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</si>
  <si>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</si>
  <si>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</si>
  <si>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</si>
  <si>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</si>
  <si>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</si>
  <si>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</si>
  <si>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</si>
  <si>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</si>
  <si>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</si>
  <si>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</si>
  <si>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</si>
  <si>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</si>
  <si>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</si>
  <si>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</si>
  <si>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</si>
  <si>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</si>
  <si>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</si>
  <si>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</si>
  <si>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</si>
  <si>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</si>
  <si>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</si>
  <si>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</si>
  <si>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</si>
  <si>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</si>
  <si>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</si>
  <si>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</si>
  <si>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</si>
  <si>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</si>
  <si>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</si>
  <si>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</si>
  <si>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</si>
  <si>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</si>
  <si>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</si>
  <si>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</si>
  <si>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</si>
  <si>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</si>
  <si>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</si>
  <si>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</si>
  <si>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</si>
  <si>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</si>
  <si>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</si>
  <si>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</si>
  <si>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</si>
  <si>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</si>
  <si>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</si>
  <si>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</si>
  <si>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</si>
  <si>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</si>
  <si>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</si>
  <si>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</si>
  <si>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</si>
  <si>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</si>
  <si>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</si>
  <si>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</si>
  <si>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</si>
  <si>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</si>
  <si>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</si>
  <si>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</si>
  <si>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</si>
  <si>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</si>
  <si>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</si>
  <si>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</si>
  <si>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</si>
  <si>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</si>
  <si>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</si>
  <si>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</si>
  <si>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</si>
  <si>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</si>
  <si>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</si>
  <si>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</si>
  <si>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</si>
  <si>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</si>
  <si>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</si>
  <si>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</si>
  <si>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</si>
  <si>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</si>
  <si>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</si>
  <si>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</si>
  <si>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</si>
  <si>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</si>
  <si>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</si>
  <si>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</si>
  <si>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</si>
  <si>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</si>
  <si>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</si>
  <si>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</si>
  <si>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</si>
  <si>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</si>
  <si>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</si>
  <si>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</si>
  <si>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</si>
  <si>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</si>
  <si>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</si>
  <si>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</si>
  <si>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</si>
  <si>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</si>
  <si>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</si>
  <si>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</si>
  <si>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</si>
  <si>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</si>
  <si>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</si>
  <si>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</si>
  <si>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</si>
  <si>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</si>
  <si>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</si>
  <si>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</si>
  <si>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</si>
  <si>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</si>
  <si>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</si>
  <si>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</si>
  <si>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</si>
  <si>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</si>
  <si>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</si>
  <si>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</si>
  <si>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</si>
  <si>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</si>
  <si>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</si>
  <si>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</si>
  <si>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</si>
  <si>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</si>
  <si>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</si>
  <si>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</si>
  <si>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</si>
  <si>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</si>
  <si>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</si>
  <si>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</si>
  <si>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</si>
  <si>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</si>
  <si>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</si>
  <si>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</si>
  <si>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</si>
  <si>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</si>
  <si>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</si>
  <si>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</si>
  <si>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</si>
  <si>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</si>
  <si>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</si>
  <si>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</si>
  <si>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</si>
  <si>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</si>
  <si>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</si>
  <si>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</si>
  <si>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</si>
  <si>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</si>
  <si>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</si>
  <si>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</si>
  <si>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</si>
  <si>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</si>
  <si>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</si>
  <si>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</si>
  <si>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</si>
  <si>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</si>
  <si>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</si>
  <si>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</si>
  <si>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</si>
  <si>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</si>
  <si>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</si>
  <si>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</si>
  <si>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</si>
  <si>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</si>
  <si>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</si>
  <si>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</si>
  <si>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</si>
  <si>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</si>
  <si>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</si>
  <si>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</si>
  <si>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</si>
  <si>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</si>
  <si>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</si>
  <si>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</si>
  <si>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</si>
  <si>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</si>
  <si>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</si>
  <si>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</si>
  <si>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</si>
  <si>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</si>
  <si>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</si>
  <si>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</si>
  <si>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</si>
  <si>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</si>
  <si>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</si>
  <si>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</si>
  <si>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</si>
  <si>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</si>
  <si>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</si>
  <si>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</si>
  <si>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</si>
  <si>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</si>
  <si>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</si>
  <si>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</si>
  <si>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</si>
  <si>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</si>
  <si>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</si>
  <si>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</si>
  <si>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</si>
  <si>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</si>
  <si>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</si>
  <si>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</si>
  <si>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</si>
  <si>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</si>
  <si>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</si>
  <si>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</si>
  <si>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</si>
  <si>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</si>
  <si>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</si>
  <si>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</si>
  <si>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</si>
  <si>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</si>
  <si>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</si>
  <si>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</si>
  <si>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</si>
  <si>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</si>
  <si>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</si>
  <si>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</si>
  <si>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</si>
  <si>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</si>
  <si>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</si>
  <si>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</si>
  <si>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</si>
  <si>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</si>
  <si>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</si>
  <si>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</si>
  <si>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</si>
  <si>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</si>
  <si>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</si>
  <si>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</si>
  <si>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</si>
  <si>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</si>
  <si>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</si>
  <si>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</si>
  <si>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</si>
  <si>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</si>
  <si>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</si>
  <si>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</si>
  <si>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</si>
  <si>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</si>
  <si>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</si>
  <si>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</si>
  <si>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</si>
  <si>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</si>
  <si>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</si>
  <si>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</si>
  <si>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</si>
  <si>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</si>
  <si>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</si>
  <si>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</si>
  <si>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</si>
  <si>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</si>
  <si>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</si>
  <si>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</si>
  <si>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</si>
  <si>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</si>
  <si>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</si>
  <si>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</si>
  <si>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</si>
  <si>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</si>
  <si>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</si>
  <si>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</si>
  <si>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</si>
  <si>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</si>
  <si>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</si>
  <si>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</si>
  <si>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</si>
  <si>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</si>
  <si>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</si>
  <si>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</si>
  <si>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</si>
  <si>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</si>
  <si>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</si>
  <si>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</si>
  <si>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</si>
  <si>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</si>
  <si>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</si>
  <si>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</si>
  <si>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</si>
  <si>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</si>
  <si>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</si>
  <si>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</si>
  <si>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</si>
  <si>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</si>
  <si>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</si>
  <si>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</si>
  <si>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</si>
  <si>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</si>
  <si>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</si>
  <si>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</si>
  <si>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</si>
  <si>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</si>
  <si>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</si>
  <si>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</si>
  <si>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</si>
  <si>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</si>
  <si>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</si>
  <si>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</si>
  <si>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</si>
  <si>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</si>
  <si>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</si>
  <si>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</si>
  <si>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</si>
  <si>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</si>
  <si>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</si>
  <si>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</si>
  <si>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</si>
  <si>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</si>
  <si>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</si>
  <si>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</si>
  <si>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</si>
  <si>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</si>
  <si>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</si>
  <si>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</si>
  <si>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</si>
  <si>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</si>
  <si>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</si>
  <si>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</si>
  <si>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</si>
  <si>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</si>
  <si>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</si>
  <si>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</si>
  <si>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</si>
  <si>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</si>
  <si>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</si>
  <si>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</si>
  <si>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</si>
  <si>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</si>
  <si>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</si>
  <si>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</si>
  <si>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</si>
  <si>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</si>
  <si>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</si>
  <si>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</si>
  <si>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</si>
  <si>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</si>
  <si>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</si>
  <si>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</si>
  <si>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</si>
  <si>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</si>
  <si>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</si>
  <si>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</si>
  <si>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</si>
  <si>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</si>
  <si>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</si>
  <si>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</si>
  <si>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</si>
  <si>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</si>
  <si>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</si>
  <si>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</si>
  <si>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</si>
  <si>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</si>
  <si>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</si>
  <si>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</si>
  <si>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</si>
  <si>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</si>
  <si>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</si>
  <si>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</si>
  <si>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</si>
  <si>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</si>
  <si>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</si>
  <si>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</si>
  <si>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</si>
  <si>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</si>
  <si>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</si>
  <si>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</si>
  <si>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</si>
  <si>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</si>
  <si>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</si>
  <si>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</si>
  <si>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</si>
  <si>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</si>
  <si>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</si>
  <si>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</si>
  <si>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</si>
  <si>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</si>
  <si>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</si>
  <si>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</si>
  <si>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</si>
  <si>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</si>
  <si>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</si>
  <si>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</si>
  <si>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</si>
  <si>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</si>
  <si>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</si>
  <si>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</si>
  <si>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</si>
  <si>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</si>
  <si>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</si>
  <si>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</si>
  <si>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</si>
  <si>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</si>
  <si>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</si>
  <si>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</si>
  <si>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</si>
  <si>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</si>
  <si>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</si>
  <si>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</si>
  <si>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</si>
  <si>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</si>
  <si>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</si>
  <si>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</si>
  <si>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</si>
  <si>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</si>
  <si>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</si>
  <si>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</si>
  <si>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</si>
  <si>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</si>
  <si>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</si>
  <si>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</si>
  <si>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</si>
  <si>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</si>
  <si>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</si>
  <si>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</si>
  <si>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</si>
  <si>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</si>
  <si>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</si>
  <si>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</si>
  <si>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</si>
  <si>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</si>
  <si>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</si>
  <si>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</si>
  <si>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</si>
  <si>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</si>
  <si>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</si>
  <si>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</si>
  <si>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</si>
  <si>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</si>
  <si>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</si>
  <si>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</si>
  <si>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</si>
  <si>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</si>
  <si>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</si>
  <si>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</si>
  <si>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</si>
  <si>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</si>
  <si>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</si>
  <si>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</si>
  <si>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</si>
  <si>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</si>
  <si>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</si>
  <si>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</si>
  <si>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</si>
  <si>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</si>
  <si>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</si>
  <si>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</si>
  <si>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</si>
  <si>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</si>
  <si>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</si>
  <si>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</si>
  <si>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</si>
  <si>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</si>
  <si>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</si>
  <si>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</si>
  <si>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</si>
  <si>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</si>
  <si>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</si>
  <si>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</si>
  <si>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</si>
  <si>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</si>
  <si>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</si>
  <si>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</si>
  <si>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</si>
  <si>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</si>
  <si>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</si>
  <si>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</si>
  <si>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</si>
  <si>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</si>
  <si>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</si>
  <si>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</si>
  <si>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</si>
  <si>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</si>
  <si>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</si>
  <si>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</si>
  <si>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</si>
  <si>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</si>
  <si>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</si>
  <si>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</si>
  <si>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</si>
  <si>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</si>
  <si>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</si>
  <si>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</si>
  <si>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</si>
  <si>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</si>
  <si>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</si>
  <si>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</si>
  <si>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</si>
  <si>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</si>
  <si>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</si>
  <si>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</si>
  <si>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</si>
  <si>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</si>
  <si>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</si>
  <si>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</si>
  <si>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</si>
  <si>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</si>
  <si>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</si>
  <si>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</si>
  <si>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</si>
  <si>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</si>
  <si>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</si>
  <si>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</si>
  <si>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</si>
  <si>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</si>
  <si>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</si>
  <si>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</si>
  <si>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</si>
  <si>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</si>
  <si>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</si>
  <si>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</si>
  <si>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</si>
  <si>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</si>
  <si>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</si>
  <si>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</si>
  <si>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</si>
  <si>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</si>
  <si>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</si>
  <si>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</si>
  <si>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</si>
  <si>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</si>
  <si>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</si>
  <si>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</si>
  <si>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</si>
  <si>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</si>
  <si>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</si>
  <si>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</si>
  <si>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</si>
  <si>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</si>
  <si>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</si>
  <si>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</si>
  <si>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</si>
  <si>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</si>
  <si>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</si>
  <si>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</si>
  <si>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</si>
  <si>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</si>
  <si>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</si>
  <si>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</si>
  <si>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</si>
  <si>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</si>
  <si>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</si>
  <si>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</si>
  <si>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</si>
  <si>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</si>
  <si>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</si>
  <si>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</si>
  <si>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</si>
  <si>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</si>
  <si>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</si>
  <si>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</si>
  <si>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</si>
  <si>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</si>
  <si>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</si>
  <si>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</si>
  <si>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</si>
  <si>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</si>
  <si>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</si>
  <si>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</si>
  <si>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</si>
  <si>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</si>
  <si>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</si>
  <si>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</si>
  <si>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</si>
  <si>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</si>
  <si>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</si>
  <si>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</si>
  <si>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</si>
  <si>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</si>
  <si>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</si>
  <si>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</si>
  <si>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</si>
  <si>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</si>
  <si>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</si>
  <si>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</si>
  <si>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</si>
  <si>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</si>
  <si>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</si>
  <si>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</si>
  <si>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</si>
  <si>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</si>
  <si>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</si>
  <si>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</si>
  <si>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</si>
  <si>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</si>
  <si>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</si>
  <si>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</si>
  <si>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</si>
  <si>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</si>
  <si>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</si>
  <si>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</si>
  <si>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</si>
  <si>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</si>
  <si>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</si>
  <si>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</si>
  <si>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</si>
  <si>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</si>
  <si>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</si>
  <si>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</si>
  <si>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</si>
  <si>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</si>
  <si>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</si>
  <si>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</si>
  <si>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</si>
  <si>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</si>
  <si>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</si>
  <si>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</si>
  <si>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</si>
  <si>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</si>
  <si>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</si>
  <si>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</si>
  <si>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</si>
  <si>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</si>
  <si>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</si>
  <si>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</si>
  <si>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</si>
  <si>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</si>
  <si>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</si>
  <si>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</si>
  <si>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</si>
  <si>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</si>
  <si>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</si>
  <si>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</si>
  <si>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</si>
  <si>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</si>
  <si>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</si>
  <si>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</si>
  <si>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</si>
  <si>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</si>
  <si>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</si>
  <si>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</si>
  <si>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</si>
  <si>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</si>
  <si>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</si>
  <si>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</si>
  <si>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</si>
  <si>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</si>
  <si>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</si>
  <si>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</si>
  <si>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</si>
  <si>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</si>
  <si>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</si>
  <si>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</si>
  <si>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</si>
  <si>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</si>
  <si>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</si>
  <si>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</si>
  <si>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</si>
  <si>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</si>
  <si>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</si>
  <si>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</si>
  <si>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</si>
  <si>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</si>
  <si>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</si>
  <si>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</si>
  <si>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</si>
  <si>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</si>
  <si>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</si>
  <si>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</si>
  <si>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</si>
  <si>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</si>
  <si>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</si>
  <si>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</si>
  <si>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</si>
  <si>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</si>
  <si>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</si>
  <si>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</si>
  <si>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</si>
  <si>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</si>
  <si>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</si>
  <si>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</si>
  <si>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</si>
  <si>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</si>
  <si>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</si>
  <si>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</si>
  <si>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</si>
  <si>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</si>
  <si>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</si>
  <si>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</si>
  <si>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</si>
  <si>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</si>
  <si>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</si>
  <si>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</si>
  <si>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</si>
  <si>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</si>
  <si>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</si>
  <si>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</si>
  <si>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</si>
  <si>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</si>
  <si>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</si>
  <si>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</si>
  <si>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</si>
  <si>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</si>
  <si>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</si>
  <si>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</si>
  <si>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</si>
  <si>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</si>
  <si>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</si>
  <si>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</si>
  <si>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</si>
  <si>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</si>
  <si>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</si>
  <si>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</si>
  <si>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</si>
  <si>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</si>
  <si>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</si>
  <si>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</si>
  <si>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</si>
  <si>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</si>
  <si>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</si>
  <si>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</si>
  <si>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</si>
  <si>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</si>
  <si>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</si>
  <si>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</si>
  <si>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</si>
  <si>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</si>
  <si>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</si>
  <si>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</si>
  <si>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</si>
  <si>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</si>
  <si>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</si>
  <si>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</si>
  <si>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</si>
  <si>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</si>
  <si>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</si>
  <si>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</si>
  <si>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</si>
  <si>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</si>
  <si>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</si>
  <si>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</si>
  <si>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</si>
  <si>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</si>
  <si>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</si>
  <si>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</si>
  <si>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</si>
  <si>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</si>
  <si>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</si>
  <si>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</si>
  <si>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</si>
  <si>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</si>
  <si>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</si>
  <si>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</si>
  <si>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</si>
  <si>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</si>
  <si>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</si>
  <si>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</si>
  <si>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</si>
  <si>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</si>
  <si>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</si>
  <si>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</si>
  <si>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</si>
  <si>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</si>
  <si>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</si>
  <si>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</si>
  <si>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</si>
  <si>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</si>
  <si>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</si>
  <si>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</si>
  <si>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</si>
  <si>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</si>
  <si>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</si>
  <si>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</si>
  <si>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</si>
  <si>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</si>
  <si>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</si>
  <si>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</si>
  <si>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</si>
  <si>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</si>
  <si>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</si>
  <si>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</si>
  <si>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</si>
  <si>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</si>
  <si>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</si>
  <si>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</si>
  <si>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</si>
  <si>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</si>
  <si>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</si>
  <si>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</si>
  <si>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</si>
  <si>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</si>
  <si>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</si>
  <si>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</si>
  <si>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</si>
  <si>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</si>
  <si>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</si>
  <si>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</si>
  <si>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</si>
  <si>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</si>
  <si>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</si>
  <si>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</si>
  <si>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</si>
  <si>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</si>
  <si>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</si>
  <si>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</si>
  <si>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</si>
  <si>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</si>
  <si>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</si>
  <si>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</si>
  <si>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</si>
  <si>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</si>
  <si>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</si>
  <si>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</si>
  <si>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</si>
  <si>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</si>
  <si>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</si>
  <si>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</si>
  <si>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</si>
  <si>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</si>
  <si>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</si>
  <si>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</si>
  <si>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</si>
  <si>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</si>
  <si>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</si>
  <si>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</si>
  <si>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</si>
  <si>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</si>
  <si>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</si>
  <si>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</si>
  <si>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</si>
  <si>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</si>
  <si>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</si>
  <si>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</si>
  <si>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</si>
  <si>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</si>
  <si>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</si>
  <si>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</si>
  <si>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</si>
  <si>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</si>
  <si>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</si>
  <si>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</si>
  <si>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</si>
  <si>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</si>
  <si>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</si>
  <si>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</si>
  <si>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</si>
  <si>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</si>
  <si>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</si>
  <si>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</si>
  <si>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</si>
  <si>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</si>
  <si>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</si>
  <si>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</si>
  <si>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</si>
  <si>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</si>
  <si>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</si>
  <si>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</si>
  <si>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</si>
  <si>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</si>
  <si>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</si>
  <si>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</si>
  <si>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</si>
  <si>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</si>
  <si>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</si>
  <si>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</si>
  <si>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</si>
  <si>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</si>
  <si>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</si>
  <si>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</si>
  <si>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</si>
  <si>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</si>
  <si>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</si>
  <si>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</si>
  <si>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</si>
  <si>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</si>
  <si>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</si>
  <si>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</si>
  <si>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</si>
  <si>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</si>
  <si>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</si>
  <si>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</si>
  <si>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</si>
  <si>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</si>
  <si>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</si>
  <si>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</si>
  <si>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</si>
  <si>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</si>
  <si>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</si>
  <si>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</si>
  <si>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</si>
  <si>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</si>
  <si>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</si>
  <si>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</si>
  <si>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</si>
  <si>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</si>
  <si>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</si>
  <si>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</si>
  <si>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</si>
  <si>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</si>
  <si>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</si>
  <si>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</si>
  <si>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</si>
  <si>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</si>
  <si>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</si>
  <si>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</si>
  <si>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</si>
  <si>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</si>
  <si>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</si>
  <si>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</si>
  <si>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</si>
  <si>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</si>
  <si>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</si>
  <si>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</si>
  <si>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</si>
  <si>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</si>
  <si>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</si>
  <si>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</si>
  <si>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</si>
  <si>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</si>
  <si>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</si>
  <si>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</si>
  <si>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</si>
  <si>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</si>
  <si>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</si>
  <si>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</si>
  <si>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</si>
  <si>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</si>
  <si>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</si>
  <si>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</si>
  <si>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</si>
  <si>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</si>
  <si>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</si>
  <si>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</si>
  <si>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</si>
  <si>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</si>
  <si>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</si>
  <si>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</si>
  <si>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</si>
  <si>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</si>
  <si>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</si>
  <si>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</si>
  <si>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</si>
  <si>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</si>
  <si>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</si>
  <si>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</si>
  <si>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</si>
  <si>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</si>
  <si>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</si>
  <si>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</si>
  <si>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</si>
  <si>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</si>
  <si>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</si>
  <si>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</si>
  <si>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</si>
  <si>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</si>
  <si>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</si>
  <si>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</si>
  <si>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</si>
  <si>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</si>
  <si>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</si>
  <si>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</si>
  <si>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</si>
  <si>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</si>
  <si>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</si>
  <si>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</si>
  <si>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</si>
  <si>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</si>
  <si>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</si>
  <si>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</si>
  <si>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</si>
  <si>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</si>
  <si>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</si>
  <si>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</si>
  <si>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</si>
  <si>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</si>
  <si>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</si>
  <si>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</si>
  <si>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</si>
  <si>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</si>
  <si>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</si>
  <si>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</si>
  <si>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</si>
  <si>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</si>
  <si>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</si>
  <si>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</si>
  <si>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</si>
  <si>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</si>
  <si>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</si>
  <si>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</si>
  <si>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</si>
  <si>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</si>
  <si>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</si>
  <si>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</si>
  <si>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</si>
  <si>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</si>
  <si>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</si>
  <si>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</si>
  <si>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</si>
  <si>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</si>
  <si>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</si>
  <si>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</si>
  <si>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</si>
  <si>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</si>
  <si>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</si>
  <si>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</si>
  <si>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</si>
  <si>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</si>
  <si>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</si>
  <si>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</si>
  <si>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</si>
  <si>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</si>
  <si>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</si>
  <si>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</si>
  <si>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</si>
  <si>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</si>
  <si>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</si>
  <si>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</si>
  <si>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</si>
  <si>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</si>
  <si>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</si>
  <si>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</si>
  <si>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</si>
  <si>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</si>
  <si>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</si>
  <si>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</si>
  <si>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</si>
  <si>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</si>
  <si>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</si>
  <si>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</si>
  <si>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</si>
  <si>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</si>
  <si>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</si>
  <si>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</si>
  <si>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</si>
  <si>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</si>
  <si>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</si>
  <si>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</si>
  <si>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</si>
  <si>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</si>
  <si>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</si>
  <si>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</si>
  <si>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</si>
  <si>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</si>
  <si>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</si>
  <si>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</si>
  <si>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</si>
  <si>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</si>
  <si>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</si>
  <si>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</si>
  <si>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</si>
  <si>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</si>
  <si>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</si>
  <si>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</si>
  <si>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</si>
  <si>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</si>
  <si>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</si>
  <si>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</si>
  <si>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</si>
  <si>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</si>
  <si>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</si>
  <si>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</si>
  <si>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</si>
  <si>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</si>
  <si>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</si>
  <si>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</si>
  <si>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</si>
  <si>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</si>
  <si>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</si>
  <si>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</si>
  <si>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</si>
  <si>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</si>
  <si>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</si>
  <si>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</si>
  <si>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</si>
  <si>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</si>
  <si>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</si>
  <si>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</si>
  <si>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</si>
  <si>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</si>
  <si>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</si>
  <si>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</si>
  <si>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</si>
  <si>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</si>
  <si>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</si>
  <si>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</si>
  <si>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</si>
  <si>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</si>
  <si>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</si>
  <si>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</si>
  <si>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</si>
  <si>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</si>
  <si>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</si>
  <si>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</si>
  <si>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</si>
  <si>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</si>
  <si>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</si>
  <si>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</si>
  <si>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</si>
  <si>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</si>
  <si>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</si>
  <si>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</si>
  <si>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</si>
  <si>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</si>
  <si>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</si>
  <si>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</si>
  <si>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</si>
  <si>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</si>
  <si>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</si>
  <si>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</si>
  <si>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</si>
  <si>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</si>
  <si>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</si>
  <si>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</si>
  <si>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</si>
  <si>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</si>
  <si>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</si>
  <si>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</si>
  <si>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</si>
  <si>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</si>
  <si>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</si>
  <si>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</si>
  <si>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</si>
  <si>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</si>
  <si>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</si>
  <si>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</si>
  <si>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</si>
  <si>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</si>
  <si>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</si>
  <si>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</si>
  <si>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</si>
  <si>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</si>
  <si>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</si>
  <si>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</si>
  <si>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</si>
  <si>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</si>
  <si>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</si>
  <si>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</si>
  <si>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</si>
  <si>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</si>
  <si>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</si>
  <si>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</si>
  <si>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</si>
  <si>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</si>
  <si>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</si>
  <si>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</si>
  <si>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</si>
  <si>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</si>
  <si>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</si>
  <si>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</si>
  <si>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</si>
  <si>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</si>
  <si>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</si>
  <si>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</si>
  <si>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</si>
  <si>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</si>
  <si>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</si>
  <si>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</si>
  <si>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</si>
  <si>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</si>
  <si>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</si>
  <si>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</si>
  <si>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</si>
  <si>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</si>
  <si>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</si>
  <si>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</si>
  <si>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</si>
  <si>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</si>
  <si>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</si>
  <si>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</si>
  <si>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</si>
  <si>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</si>
  <si>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</si>
  <si>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</si>
  <si>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</si>
  <si>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</si>
  <si>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</si>
  <si>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</si>
  <si>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</si>
  <si>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</si>
  <si>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</si>
  <si>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</si>
  <si>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</si>
  <si>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</si>
  <si>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</si>
  <si>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</si>
  <si>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</si>
  <si>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</si>
  <si>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</si>
  <si>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</si>
  <si>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</si>
  <si>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</si>
  <si>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</si>
  <si>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</si>
  <si>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</si>
  <si>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</si>
  <si>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</si>
  <si>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</si>
  <si>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</si>
  <si>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</si>
  <si>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</si>
  <si>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</si>
  <si>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</si>
  <si>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</si>
  <si>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</si>
  <si>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</si>
  <si>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</si>
  <si>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</si>
  <si>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</si>
  <si>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</si>
  <si>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</si>
  <si>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</si>
  <si>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</si>
  <si>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</si>
  <si>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</si>
  <si>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</si>
  <si>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</si>
  <si>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</si>
  <si>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</si>
  <si>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</si>
  <si>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</si>
  <si>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</si>
  <si>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</si>
  <si>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</si>
  <si>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</si>
  <si>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</si>
  <si>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</si>
  <si>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</si>
  <si>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</si>
  <si>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</si>
  <si>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</si>
  <si>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</si>
  <si>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</si>
  <si>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</si>
  <si>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</si>
  <si>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</si>
  <si>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</si>
  <si>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</si>
  <si>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</si>
  <si>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</si>
  <si>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</si>
  <si>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</si>
  <si>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</si>
  <si>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</si>
  <si>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</si>
  <si>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</si>
  <si>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</si>
  <si>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</si>
  <si>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</si>
  <si>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</si>
  <si>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</si>
  <si>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</si>
  <si>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</si>
  <si>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</si>
  <si>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</si>
  <si>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</si>
  <si>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</si>
  <si>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</si>
  <si>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</si>
  <si>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</si>
  <si>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</si>
  <si>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</si>
  <si>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</si>
  <si>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</si>
  <si>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</si>
  <si>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</si>
  <si>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</si>
  <si>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</si>
  <si>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</si>
  <si>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</si>
  <si>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</si>
  <si>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</si>
  <si>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</si>
  <si>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</si>
  <si>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</si>
  <si>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</si>
  <si>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</si>
  <si>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</si>
  <si>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</si>
  <si>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</si>
  <si>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</si>
  <si>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</si>
  <si>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</si>
  <si>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</si>
  <si>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</si>
  <si>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</si>
  <si>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</si>
  <si>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</si>
  <si>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</si>
  <si>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</si>
  <si>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</si>
  <si>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</si>
  <si>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</si>
  <si>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</si>
  <si>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</si>
  <si>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</si>
  <si>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</si>
  <si>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</si>
  <si>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</si>
  <si>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</si>
  <si>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</si>
  <si>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</si>
  <si>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</si>
  <si>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</si>
  <si>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</si>
  <si>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</si>
  <si>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</si>
  <si>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</si>
  <si>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</si>
  <si>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</si>
  <si>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</si>
  <si>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</si>
  <si>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</si>
  <si>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</si>
  <si>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</si>
  <si>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</si>
  <si>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</si>
  <si>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</si>
  <si>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</si>
  <si>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</si>
  <si>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</si>
  <si>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</si>
  <si>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</si>
  <si>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</si>
  <si>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</si>
  <si>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</si>
  <si>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</si>
  <si>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</si>
  <si>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</si>
  <si>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</si>
  <si>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</si>
  <si>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</si>
  <si>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</si>
  <si>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</si>
  <si>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</si>
  <si>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</si>
  <si>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</si>
  <si>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</si>
  <si>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</si>
  <si>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</si>
  <si>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</si>
  <si>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</si>
  <si>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</si>
  <si>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</si>
  <si>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</si>
  <si>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</si>
  <si>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</si>
  <si>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</si>
  <si>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</si>
  <si>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</si>
  <si>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</si>
  <si>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</si>
  <si>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</si>
  <si>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</si>
  <si>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</si>
  <si>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</si>
  <si>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</si>
  <si>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</si>
  <si>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</si>
  <si>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</si>
  <si>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</si>
  <si>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</si>
  <si>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</si>
  <si>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</si>
  <si>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</si>
  <si>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</si>
  <si>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</si>
  <si>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</si>
  <si>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</si>
  <si>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</si>
  <si>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</si>
  <si>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</si>
  <si>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</si>
  <si>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</si>
  <si>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</si>
  <si>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</si>
  <si>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</si>
  <si>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</si>
  <si>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</si>
  <si>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</si>
  <si>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</si>
  <si>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</si>
  <si>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</si>
  <si>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</si>
  <si>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</si>
  <si>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</si>
  <si>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</si>
  <si>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</si>
  <si>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</si>
  <si>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</si>
  <si>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</si>
  <si>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</si>
  <si>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</si>
  <si>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</si>
  <si>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</si>
  <si>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</si>
  <si>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</si>
  <si>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</si>
  <si>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</si>
  <si>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</si>
  <si>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</si>
  <si>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</si>
  <si>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</si>
  <si>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</si>
  <si>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</si>
  <si>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</si>
  <si>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</si>
  <si>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</si>
  <si>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</si>
  <si>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</si>
  <si>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</si>
  <si>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</si>
  <si>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</si>
  <si>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</si>
  <si>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</si>
  <si>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</si>
  <si>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</si>
  <si>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</si>
  <si>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</si>
  <si>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</si>
  <si>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</si>
  <si>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</si>
  <si>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</si>
  <si>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</si>
  <si>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</si>
  <si>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</si>
  <si>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</si>
  <si>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</si>
  <si>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</si>
  <si>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</si>
  <si>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</si>
  <si>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</si>
  <si>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</si>
  <si>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</si>
  <si>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</si>
  <si>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</si>
  <si>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</si>
  <si>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</si>
  <si>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</si>
  <si>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</si>
  <si>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</si>
  <si>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</si>
  <si>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</si>
  <si>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</si>
  <si>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</si>
  <si>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</si>
  <si>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</si>
  <si>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</si>
  <si>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</si>
  <si>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</si>
  <si>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</si>
  <si>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</si>
  <si>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</si>
  <si>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</si>
  <si>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</si>
  <si>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</si>
  <si>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</si>
  <si>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</si>
  <si>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</si>
  <si>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</si>
  <si>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</si>
  <si>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</si>
  <si>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</si>
  <si>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</si>
  <si>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</si>
  <si>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</si>
  <si>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</si>
  <si>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</si>
  <si>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</si>
  <si>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</si>
  <si>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</si>
  <si>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</si>
  <si>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</si>
  <si>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</si>
  <si>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</si>
  <si>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</si>
  <si>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</si>
  <si>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</si>
  <si>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</si>
  <si>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</si>
  <si>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</si>
  <si>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</si>
  <si>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</si>
  <si>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</si>
  <si>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</si>
  <si>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</si>
  <si>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</si>
  <si>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</si>
  <si>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</si>
  <si>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</si>
  <si>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</si>
  <si>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</si>
  <si>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</si>
  <si>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</si>
  <si>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</si>
  <si>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</si>
  <si>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</si>
  <si>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</si>
  <si>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</si>
  <si>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</si>
  <si>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</si>
  <si>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</si>
  <si>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</si>
  <si>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</si>
  <si>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</si>
  <si>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</si>
  <si>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</si>
  <si>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</si>
  <si>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</si>
  <si>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</si>
  <si>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</si>
  <si>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</si>
  <si>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</si>
  <si>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</si>
  <si>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</si>
  <si>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</si>
  <si>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</si>
  <si>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</si>
  <si>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</si>
  <si>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</si>
  <si>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</si>
  <si>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</si>
  <si>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</si>
  <si>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</si>
  <si>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</si>
  <si>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</si>
  <si>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</si>
  <si>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</si>
  <si>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</si>
  <si>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</si>
  <si>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</si>
  <si>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</si>
  <si>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</si>
  <si>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</si>
  <si>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</si>
  <si>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</si>
  <si>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</si>
  <si>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</si>
  <si>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</si>
  <si>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</si>
  <si>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</si>
  <si>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</si>
  <si>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</si>
  <si>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</si>
  <si>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</si>
  <si>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</si>
  <si>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</si>
  <si>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</si>
  <si>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</si>
  <si>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</si>
  <si>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</si>
  <si>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</si>
  <si>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</si>
  <si>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</si>
  <si>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</si>
  <si>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</si>
  <si>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</si>
  <si>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</si>
  <si>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</si>
  <si>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</si>
  <si>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</si>
  <si>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</si>
  <si>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</si>
  <si>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</si>
  <si>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</si>
  <si>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</si>
  <si>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</si>
  <si>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</si>
  <si>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</si>
  <si>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</si>
  <si>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</si>
  <si>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</si>
  <si>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</si>
  <si>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</si>
  <si>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</si>
  <si>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</si>
  <si>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</si>
  <si>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</si>
  <si>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</si>
  <si>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</si>
  <si>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</si>
  <si>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</si>
  <si>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</si>
  <si>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</si>
  <si>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</si>
  <si>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</si>
  <si>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</si>
  <si>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</si>
  <si>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</si>
  <si>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</si>
  <si>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</si>
  <si>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</si>
  <si>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</si>
  <si>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</si>
  <si>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</si>
  <si>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</si>
  <si>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</si>
  <si>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</si>
  <si>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</si>
  <si>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</si>
  <si>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</si>
  <si>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</si>
  <si>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</si>
  <si>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</si>
  <si>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</si>
  <si>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</si>
  <si>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</si>
  <si>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</si>
  <si>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</si>
  <si>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</si>
  <si>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</si>
  <si>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</si>
  <si>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</si>
  <si>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</si>
  <si>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</si>
  <si>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</si>
  <si>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</si>
  <si>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</si>
  <si>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</si>
  <si>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</si>
  <si>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</si>
  <si>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</si>
  <si>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</si>
  <si>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</si>
  <si>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</si>
  <si>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</si>
  <si>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</si>
  <si>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</si>
  <si>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</si>
  <si>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</si>
  <si>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</si>
  <si>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</si>
  <si>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</si>
  <si>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</si>
  <si>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</si>
  <si>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</si>
  <si>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</si>
  <si>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</si>
  <si>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</si>
  <si>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</si>
  <si>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</si>
  <si>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</si>
  <si>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</si>
  <si>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</si>
  <si>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</si>
  <si>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</si>
  <si>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</si>
  <si>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</si>
  <si>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</si>
  <si>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</si>
  <si>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</si>
  <si>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</si>
  <si>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</si>
  <si>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</si>
  <si>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</si>
  <si>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</si>
  <si>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</si>
  <si>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</si>
  <si>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</si>
  <si>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</si>
  <si>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</si>
  <si>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</si>
  <si>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</si>
  <si>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</si>
  <si>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</si>
  <si>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</si>
  <si>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</si>
  <si>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</si>
  <si>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</si>
  <si>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</si>
  <si>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</si>
  <si>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</si>
  <si>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</si>
  <si>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</si>
  <si>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</si>
  <si>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</si>
  <si>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</si>
  <si>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</si>
  <si>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</si>
  <si>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</si>
  <si>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</si>
  <si>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</si>
  <si>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</si>
  <si>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</si>
  <si>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</si>
  <si>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</si>
  <si>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</si>
  <si>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</si>
  <si>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</si>
  <si>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</si>
  <si>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</si>
  <si>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</si>
  <si>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</si>
  <si>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</si>
  <si>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</si>
  <si>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</si>
  <si>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</si>
  <si>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</si>
  <si>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</si>
  <si>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</si>
  <si>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</si>
  <si>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</si>
  <si>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</si>
  <si>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</si>
  <si>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</si>
  <si>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</si>
  <si>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</si>
  <si>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</si>
  <si>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</si>
  <si>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</si>
  <si>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</si>
  <si>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</si>
  <si>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</si>
  <si>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</si>
  <si>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</si>
  <si>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</si>
  <si>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</si>
  <si>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</si>
  <si>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</si>
  <si>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</si>
  <si>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</si>
  <si>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</si>
  <si>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</si>
  <si>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</si>
  <si>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</si>
  <si>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</si>
  <si>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</si>
  <si>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</si>
  <si>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</si>
  <si>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</si>
  <si>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</si>
  <si>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</si>
  <si>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</si>
  <si>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</si>
  <si>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</si>
  <si>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</si>
  <si>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</si>
  <si>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</si>
  <si>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</si>
  <si>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</si>
  <si>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</si>
  <si>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</si>
  <si>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</si>
  <si>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</si>
  <si>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</si>
  <si>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</si>
  <si>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</si>
  <si>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</si>
  <si>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</si>
  <si>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</si>
  <si>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</si>
  <si>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</si>
  <si>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</si>
  <si>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</si>
  <si>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</si>
  <si>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</si>
  <si>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</si>
  <si>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</si>
  <si>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</si>
  <si>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</si>
  <si>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</si>
  <si>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</si>
  <si>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</si>
  <si>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</si>
  <si>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</si>
  <si>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</si>
  <si>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</si>
  <si>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</si>
  <si>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</si>
  <si>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</si>
  <si>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</si>
  <si>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</si>
  <si>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</si>
  <si>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</si>
  <si>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</si>
  <si>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</si>
  <si>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</si>
  <si>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</si>
  <si>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</si>
  <si>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</si>
  <si>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</si>
  <si>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</si>
  <si>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</si>
  <si>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</si>
  <si>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</si>
  <si>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</si>
  <si>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</si>
  <si>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</si>
  <si>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</si>
  <si>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</si>
  <si>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</si>
  <si>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</si>
  <si>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</si>
  <si>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</si>
  <si>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</si>
  <si>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</si>
  <si>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</si>
  <si>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</si>
  <si>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</si>
  <si>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</si>
  <si>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</si>
  <si>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</si>
  <si>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</si>
  <si>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</si>
  <si>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</si>
  <si>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</si>
  <si>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</si>
  <si>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</si>
  <si>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</si>
  <si>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</si>
  <si>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</si>
  <si>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</si>
  <si>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</si>
  <si>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</si>
  <si>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</si>
  <si>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</si>
  <si>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</si>
  <si>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</si>
  <si>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</si>
  <si>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</si>
  <si>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</si>
  <si>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</si>
  <si>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</si>
  <si>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</si>
  <si>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</si>
  <si>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</si>
  <si>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</si>
  <si>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</si>
  <si>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</si>
  <si>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</si>
  <si>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</si>
  <si>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</si>
  <si>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</si>
  <si>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</si>
  <si>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</si>
  <si>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</si>
  <si>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</si>
  <si>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</si>
  <si>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</si>
  <si>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</si>
  <si>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</si>
  <si>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</si>
  <si>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</si>
  <si>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</si>
  <si>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</si>
  <si>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</si>
  <si>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</si>
  <si>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</si>
  <si>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</si>
  <si>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</si>
  <si>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</si>
  <si>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</si>
  <si>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</si>
  <si>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</si>
  <si>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</si>
  <si>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</si>
  <si>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</si>
  <si>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</si>
  <si>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</si>
  <si>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</si>
  <si>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</si>
  <si>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</si>
  <si>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</si>
  <si>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</si>
  <si>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</si>
  <si>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</si>
  <si>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</si>
  <si>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</si>
  <si>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</si>
  <si>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</si>
  <si>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</si>
  <si>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</si>
  <si>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</si>
  <si>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</si>
  <si>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</si>
  <si>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</si>
  <si>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</si>
  <si>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</si>
  <si>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</si>
  <si>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</si>
  <si>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</si>
  <si>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</si>
  <si>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</si>
  <si>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</si>
  <si>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</si>
  <si>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</si>
  <si>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</si>
  <si>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</si>
  <si>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</si>
  <si>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</si>
  <si>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</si>
  <si>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</si>
  <si>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</si>
  <si>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</si>
  <si>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</si>
  <si>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</si>
  <si>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</si>
  <si>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</si>
  <si>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</si>
  <si>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</si>
  <si>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</si>
  <si>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</si>
  <si>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</si>
  <si>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</si>
  <si>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</si>
  <si>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</si>
  <si>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</si>
  <si>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</si>
  <si>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</si>
  <si>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</si>
  <si>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</si>
  <si>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</si>
  <si>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</si>
  <si>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</si>
  <si>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</si>
  <si>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</si>
  <si>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</si>
  <si>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</si>
  <si>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</si>
  <si>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</si>
  <si>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</si>
  <si>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</si>
  <si>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</si>
  <si>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</si>
  <si>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</si>
  <si>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</si>
  <si>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</si>
  <si>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</si>
  <si>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</si>
  <si>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</si>
  <si>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</si>
  <si>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</si>
  <si>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</si>
  <si>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</si>
  <si>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</si>
  <si>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</si>
  <si>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</si>
  <si>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</si>
  <si>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</si>
  <si>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</si>
  <si>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</si>
  <si>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</si>
  <si>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</si>
  <si>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</si>
  <si>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</si>
  <si>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</si>
  <si>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</si>
  <si>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</si>
  <si>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</si>
  <si>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</si>
  <si>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</si>
  <si>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</si>
  <si>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</si>
  <si>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</si>
  <si>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</si>
  <si>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</si>
  <si>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</si>
  <si>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</si>
  <si>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</si>
  <si>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</si>
  <si>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</si>
  <si>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</si>
  <si>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</si>
  <si>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</si>
  <si>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</si>
  <si>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</si>
  <si>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</si>
  <si>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</si>
  <si>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</si>
  <si>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</si>
  <si>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</si>
  <si>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</si>
  <si>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</si>
  <si>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</si>
  <si>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</si>
  <si>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</si>
  <si>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</si>
  <si>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</si>
  <si>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</si>
  <si>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</si>
  <si>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</si>
  <si>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</si>
  <si>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</si>
  <si>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</si>
  <si>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</si>
  <si>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</si>
  <si>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</si>
  <si>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</si>
  <si>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</si>
  <si>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</si>
  <si>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</si>
  <si>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</si>
  <si>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</si>
  <si>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</si>
  <si>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</si>
  <si>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</si>
  <si>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</si>
  <si>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</si>
  <si>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</si>
  <si>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</si>
  <si>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</si>
  <si>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</si>
  <si>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</si>
  <si>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</si>
  <si>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</si>
  <si>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</si>
  <si>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</si>
  <si>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</si>
  <si>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</si>
  <si>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</si>
  <si>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</si>
  <si>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</si>
  <si>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</si>
  <si>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</si>
  <si>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</si>
  <si>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</si>
  <si>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</si>
  <si>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</si>
  <si>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</si>
  <si>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</si>
  <si>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</si>
  <si>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</si>
  <si>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</si>
  <si>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</si>
  <si>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</si>
  <si>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</si>
  <si>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</si>
  <si>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</si>
  <si>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</si>
  <si>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</si>
  <si>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</si>
  <si>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</si>
  <si>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</si>
  <si>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</si>
  <si>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</si>
  <si>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</si>
  <si>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</si>
  <si>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</si>
  <si>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</si>
  <si>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</si>
  <si>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</si>
  <si>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</si>
  <si>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</si>
  <si>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</si>
  <si>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</si>
  <si>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</si>
  <si>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</si>
  <si>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</si>
  <si>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</si>
  <si>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</si>
  <si>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</si>
  <si>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</si>
  <si>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</si>
  <si>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</si>
  <si>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</si>
  <si>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</si>
  <si>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</si>
  <si>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</si>
  <si>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</si>
  <si>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</si>
  <si>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</si>
  <si>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Maison's Palmdale Blvd 150, LP</t>
  </si>
  <si>
    <t>Maison's Village - Phase II</t>
  </si>
  <si>
    <t>City of Palmdale</t>
  </si>
  <si>
    <t>Laurie Lile</t>
  </si>
  <si>
    <t>38250 Sierra Highway</t>
  </si>
  <si>
    <t>Palmdale</t>
  </si>
  <si>
    <t>661-267-5200</t>
  </si>
  <si>
    <t>661-267-5233</t>
  </si>
  <si>
    <t>llile@cityofpalmdale.org</t>
  </si>
  <si>
    <t>Plot to the east of Bell Avenue and Hudsonia St</t>
  </si>
  <si>
    <t>3023-002-186</t>
  </si>
  <si>
    <t>40%/60% Average Income</t>
  </si>
  <si>
    <t>2007 Cedar Avenue</t>
  </si>
  <si>
    <t>Manhattan Beach</t>
  </si>
  <si>
    <t>CA</t>
  </si>
  <si>
    <t>Phil Ram</t>
  </si>
  <si>
    <t>310-979-3210</t>
  </si>
  <si>
    <t>pram@ravelloholdings.com</t>
  </si>
  <si>
    <t>Ravello Holdings, Inc.</t>
  </si>
  <si>
    <t>Ravello MODs Palmdale Blvd 150, LLC</t>
  </si>
  <si>
    <t>Administrative GP</t>
  </si>
  <si>
    <t>AHA High Desert MGP, LLC</t>
  </si>
  <si>
    <t>3920 Birch Street, Suite 103</t>
  </si>
  <si>
    <t>Managing GP</t>
  </si>
  <si>
    <t>Newport Beach</t>
  </si>
  <si>
    <t>Hilda Jusuf</t>
  </si>
  <si>
    <t>949-253-3120</t>
  </si>
  <si>
    <t>949-253-3125</t>
  </si>
  <si>
    <t>hjusuf@ahaaccess.org</t>
  </si>
  <si>
    <t>Affordable Housing Access, Inc.</t>
  </si>
  <si>
    <t>Ascenda Capital</t>
  </si>
  <si>
    <t>9242 Beverly Blvd, Suite 300</t>
  </si>
  <si>
    <t>Beverly Hills</t>
  </si>
  <si>
    <t>Matt Avital</t>
  </si>
  <si>
    <t>310-295-1755</t>
  </si>
  <si>
    <t>matt@ascendacap.com</t>
  </si>
  <si>
    <t>Consultant</t>
  </si>
  <si>
    <t xml:space="preserve">Ravello Holdings, Inc. </t>
  </si>
  <si>
    <t>Manhattan Beach, CA 90266</t>
  </si>
  <si>
    <t>LCRA</t>
  </si>
  <si>
    <t>35 Hugus Alley, Suite 220</t>
  </si>
  <si>
    <t>Pasadena, CA 91103</t>
  </si>
  <si>
    <t>Adele Chang, AIA</t>
  </si>
  <si>
    <t>626-449-9698</t>
  </si>
  <si>
    <t>achang@lcra-architects.com</t>
  </si>
  <si>
    <t>Cox Castle &amp; Nicholson</t>
  </si>
  <si>
    <t>50 California Street, Suite 3200</t>
  </si>
  <si>
    <t>San Francisco, CA 94111</t>
  </si>
  <si>
    <t>Ofer Elitzur</t>
  </si>
  <si>
    <t>415-262-5165</t>
  </si>
  <si>
    <t>oelitzur@coxcastle.com</t>
  </si>
  <si>
    <t>Ravello West Construction</t>
  </si>
  <si>
    <t>Novogradac &amp; Company LLP</t>
  </si>
  <si>
    <t>PO Box 7833</t>
  </si>
  <si>
    <t>San Francisco, CA 94120-7833</t>
  </si>
  <si>
    <t>Melissa Chung</t>
  </si>
  <si>
    <t>415-356-7906</t>
  </si>
  <si>
    <t>415-356-8001</t>
  </si>
  <si>
    <t>melissa.chung@novoco.com</t>
  </si>
  <si>
    <t>WNC</t>
  </si>
  <si>
    <t>17782 Sky Park Circle</t>
  </si>
  <si>
    <t>Irvine, California 92614-6404</t>
  </si>
  <si>
    <t>Jesscia Captanis</t>
  </si>
  <si>
    <t>949-439-2616</t>
  </si>
  <si>
    <t>Jcaptanis@wncinc.com</t>
  </si>
  <si>
    <t>9242 Beverly Blvd., Sutie 300</t>
  </si>
  <si>
    <t>Beverly Hills, CA 90210</t>
  </si>
  <si>
    <t>6700 Antioch Road, Suite 450</t>
  </si>
  <si>
    <t>Merriam, KS 66204</t>
  </si>
  <si>
    <t>Rebecca Arthur</t>
  </si>
  <si>
    <t>913-677-4600</t>
  </si>
  <si>
    <t>rebecca.arthur@novoco.com</t>
  </si>
  <si>
    <t>CalHFA</t>
  </si>
  <si>
    <t>500 Capitol Mall, Suite 1400</t>
  </si>
  <si>
    <t>Sacramento, CA 95814</t>
  </si>
  <si>
    <t>Kevin Brown</t>
  </si>
  <si>
    <t>917-326-8808</t>
  </si>
  <si>
    <t>kbrown@calhfa.ca.gov</t>
  </si>
  <si>
    <t>Aperto Property Management, Inc.</t>
  </si>
  <si>
    <t>23461 South Pointe Dr., Suite 180</t>
  </si>
  <si>
    <t>Laguna Hills, CA 92653</t>
  </si>
  <si>
    <t>Ed Quigley</t>
  </si>
  <si>
    <t>949-873-0160</t>
  </si>
  <si>
    <t>equigley@apertopm.com</t>
  </si>
  <si>
    <t>Maison's Palmdale Blvd 150, LLC</t>
  </si>
  <si>
    <t>CEO</t>
  </si>
  <si>
    <t>2077 Cedar Avenue, Manhattan Beach, CA 90266</t>
  </si>
  <si>
    <t>Single Family Home</t>
  </si>
  <si>
    <t>no targeted populations</t>
  </si>
  <si>
    <t>Single Family Residential 3 (SFR-3)</t>
  </si>
  <si>
    <t>Single Family Residential 3 (SFR-3) with a max density of 6 DU/acre</t>
  </si>
  <si>
    <t>35' (two stories)</t>
  </si>
  <si>
    <t>2 covered spaces / main unit, one on lot space per ADU (no spaces required for JADU)</t>
  </si>
  <si>
    <t>Merchant's Capital</t>
  </si>
  <si>
    <t>Merchant's Capital - Recycled Bonds</t>
  </si>
  <si>
    <t>Merchant's Capital - Equity Bridge Loan</t>
  </si>
  <si>
    <t>WNC - Capital Contributions</t>
  </si>
  <si>
    <t>Deferred Costs</t>
  </si>
  <si>
    <t>Variable</t>
  </si>
  <si>
    <t>255 Kellogg Blvd., E, Suite 103</t>
  </si>
  <si>
    <t>St. Paul, MN 55101</t>
  </si>
  <si>
    <t>Marsha Goff</t>
  </si>
  <si>
    <t>651-299-0820</t>
  </si>
  <si>
    <t>Tax-Exempt Bonds</t>
  </si>
  <si>
    <t>Recycled Bonds</t>
  </si>
  <si>
    <t>Jessica Captanis</t>
  </si>
  <si>
    <t>Bridge Loan</t>
  </si>
  <si>
    <t>jcaptanis@wncinc.com</t>
  </si>
  <si>
    <t>CalHFA - Perm Loan</t>
  </si>
  <si>
    <t>CalHFA - MIP</t>
  </si>
  <si>
    <t>WNC - Solar Equity</t>
  </si>
  <si>
    <t>916-326-8808</t>
  </si>
  <si>
    <t>CalHFA MIP Loan</t>
  </si>
  <si>
    <t>Solar Tax Credit Equity</t>
  </si>
  <si>
    <t>Bulk Cable/Wifi Charge, Solar Panel Electric Generation Charges, Trash Removal Reimbursement</t>
  </si>
  <si>
    <t>(Trash/AC)</t>
  </si>
  <si>
    <t>LACDA</t>
  </si>
  <si>
    <t>G&amp;A, office expenses</t>
  </si>
  <si>
    <t>Employee Unit</t>
  </si>
  <si>
    <t>Contracts, Turnover</t>
  </si>
  <si>
    <t>Other: (P&amp;P)</t>
  </si>
  <si>
    <t>Other: (Construction Monitoring)</t>
  </si>
  <si>
    <t>Other: (Developer Legal)</t>
  </si>
  <si>
    <t>Other: (Other Perm Loan Fees)</t>
  </si>
  <si>
    <t>AHA High Desert MGP, LLC (owned by Affordable Housing Access, Inc.)</t>
  </si>
  <si>
    <t>LifeSTEPS</t>
  </si>
  <si>
    <t>minimum of 84 hours of instructor-led adult educational, health and wellness,  or skill building classes</t>
  </si>
  <si>
    <t>and minimum of 249 hours of health and wellness services and programs</t>
  </si>
  <si>
    <t>Maison's Palmdale Blvd 150, LLC previously acquired the land on March 31, 2021. An appraisal
was obtained in 2024 to document fair market value of $3,440,000, which is the purchase price noted on the application.</t>
  </si>
  <si>
    <t>Green features :
Solar 
Low Flow Toilets and plumbing fixtures
MWELO landscape design
EV charging Circuit future
LED Lighting
Energy Star Exhaust Fans/ventilation
Electric Tier 3 heat pump tanked water heater
No Green Certifications anticipated.</t>
  </si>
  <si>
    <t>The GC Agreement will be based on an AIA 101-2017 Form (Standard Form of Agreement Between Owner and Contractor
where the basis of payment is a Stipulated Sum) and will cover:
•	Contract Sum
•	Substantial Completion Date
•	GC Fee
•	Reference to plan sets on which contract is based</t>
  </si>
  <si>
    <t>84 (15 in CA)</t>
  </si>
  <si>
    <t>Geotechnical Report</t>
  </si>
  <si>
    <t>Phase I Report</t>
  </si>
  <si>
    <t>none noted</t>
  </si>
  <si>
    <t>Closing</t>
  </si>
  <si>
    <t>Completion</t>
  </si>
  <si>
    <t>Perm Loan Closing</t>
  </si>
  <si>
    <t>Receipt of 8609</t>
  </si>
  <si>
    <t>Cash</t>
  </si>
  <si>
    <t>Dilip K. Ram (aka Phil Ram)</t>
  </si>
  <si>
    <t>President</t>
  </si>
  <si>
    <t>BBG, Inc.</t>
  </si>
  <si>
    <t>3070 Bristol Street, Suite 615</t>
  </si>
  <si>
    <t>Costa Mesa, CA 92626</t>
  </si>
  <si>
    <t>Steve Crooks, MAI</t>
  </si>
  <si>
    <t>scrooks@bbgres.com</t>
  </si>
  <si>
    <t>714-415-4750</t>
  </si>
  <si>
    <t>(CalHFA balance tracker)</t>
  </si>
  <si>
    <t>YEAR 16</t>
  </si>
  <si>
    <t>YEAR 17</t>
  </si>
  <si>
    <t>YEAR 18</t>
  </si>
  <si>
    <t>YEAR 19</t>
  </si>
  <si>
    <t>YEAR 20</t>
  </si>
  <si>
    <t>YEAR 21</t>
  </si>
  <si>
    <t>YEAR 22</t>
  </si>
  <si>
    <t>YEAR 23</t>
  </si>
  <si>
    <t>YEAR 24</t>
  </si>
  <si>
    <t>YEAR 25</t>
  </si>
  <si>
    <t>YEAR 26</t>
  </si>
  <si>
    <t>YEAR 27</t>
  </si>
  <si>
    <t>YEAR 28</t>
  </si>
  <si>
    <t>YEAR 29</t>
  </si>
  <si>
    <t>YEAR 30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</si>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</sst>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8"/>
      <name val="Arial"/>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1" fontId="0" fillId="5" borderId="3" xfId="0" applyNumberForma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6" fontId="13" fillId="5" borderId="6" xfId="0" applyNumberFormat="1"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wrapText="1"/>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80"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60" fillId="49" borderId="80" xfId="8726" applyFont="1" applyFill="1" applyBorder="1" applyAlignment="1" applyProtection="1">
      <alignment horizontal="left" vertical="top" wrapText="1"/>
      <protection locked="0"/>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2" zoomScale="85" zoomScaleNormal="85" workbookViewId="0">
      <selection activeCell="BS185" sqref="BS18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7" t="s">
        <v>2410</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2457</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3" t="str">
        <f>IF(Application!H18="","",Application!H18)</f>
        <v>Maison's Village - Phase II</v>
      </c>
      <c r="M4" s="2574"/>
      <c r="N4" s="2574"/>
      <c r="O4" s="2574"/>
      <c r="P4" s="2574"/>
      <c r="Q4" s="2574"/>
      <c r="R4" s="2574"/>
      <c r="S4" s="2574"/>
      <c r="T4" s="2574"/>
      <c r="U4" s="2574"/>
      <c r="V4" s="2574"/>
      <c r="W4" s="2574"/>
      <c r="X4" s="2574"/>
      <c r="Y4" s="2574"/>
      <c r="Z4" s="2574"/>
      <c r="AA4" s="2574"/>
      <c r="AB4" s="2574"/>
      <c r="AC4" s="2575"/>
      <c r="AD4" s="1209"/>
      <c r="AE4" s="1209"/>
      <c r="AF4" s="2218" t="s">
        <v>2458</v>
      </c>
      <c r="AG4" s="2218"/>
      <c r="AH4" s="2218"/>
      <c r="AI4" s="2218"/>
      <c r="AJ4" s="2218"/>
      <c r="AK4" s="2218"/>
      <c r="AL4" s="2218"/>
      <c r="AM4" s="2218"/>
      <c r="AN4" s="2218"/>
      <c r="AO4" s="2218"/>
      <c r="AP4" s="2219">
        <v>45627</v>
      </c>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2459</v>
      </c>
      <c r="AG5" s="2218"/>
      <c r="AH5" s="2218"/>
      <c r="AI5" s="2218"/>
      <c r="AJ5" s="2218"/>
      <c r="AK5" s="2218"/>
      <c r="AL5" s="2218"/>
      <c r="AM5" s="2218"/>
      <c r="AN5" s="2218"/>
      <c r="AO5" s="2218"/>
      <c r="AP5" s="2219">
        <v>45383</v>
      </c>
      <c r="AQ5" s="2220"/>
      <c r="AR5" s="2220"/>
      <c r="AS5" s="2220"/>
      <c r="AT5" s="2220"/>
      <c r="AU5" s="2220"/>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3" t="str">
        <f>IF(Application!H16="","",Application!H16)</f>
        <v>Maison's Palmdale Blvd 150, LP</v>
      </c>
      <c r="M6" s="2574"/>
      <c r="N6" s="2574"/>
      <c r="O6" s="2574"/>
      <c r="P6" s="2574"/>
      <c r="Q6" s="2574"/>
      <c r="R6" s="2574"/>
      <c r="S6" s="2574"/>
      <c r="T6" s="2574"/>
      <c r="U6" s="2574"/>
      <c r="V6" s="2574"/>
      <c r="W6" s="2574"/>
      <c r="X6" s="2574"/>
      <c r="Y6" s="2574"/>
      <c r="Z6" s="2574"/>
      <c r="AA6" s="2574"/>
      <c r="AB6" s="2574"/>
      <c r="AC6" s="2575"/>
      <c r="AD6" s="1209"/>
      <c r="AE6" s="1209"/>
      <c r="AF6" s="2576" t="s">
        <v>2460</v>
      </c>
      <c r="AG6" s="2576"/>
      <c r="AH6" s="2576"/>
      <c r="AI6" s="2576"/>
      <c r="AJ6" s="2576"/>
      <c r="AK6" s="2576"/>
      <c r="AL6" s="2576"/>
      <c r="AM6" s="2576"/>
      <c r="AN6" s="2576"/>
      <c r="AO6" s="2576"/>
      <c r="AP6" s="2566">
        <v>1</v>
      </c>
      <c r="AQ6" s="2566"/>
      <c r="AR6" s="2566"/>
      <c r="AS6" s="2566"/>
      <c r="AT6" s="2566"/>
      <c r="AU6" s="256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2461</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2462</v>
      </c>
      <c r="AG8" s="2576"/>
      <c r="AH8" s="2576"/>
      <c r="AI8" s="2576"/>
      <c r="AJ8" s="2576"/>
      <c r="AK8" s="2576"/>
      <c r="AL8" s="2576"/>
      <c r="AM8" s="2576"/>
      <c r="AN8" s="2576"/>
      <c r="AO8" s="2576"/>
      <c r="AP8" s="2566" t="s">
        <v>2414</v>
      </c>
      <c r="AQ8" s="2566"/>
      <c r="AR8" s="2566"/>
      <c r="AS8" s="2566"/>
      <c r="AT8" s="2566"/>
      <c r="AU8" s="2566"/>
      <c r="AV8" s="1209"/>
      <c r="AW8" s="1209"/>
      <c r="AX8" s="1209"/>
      <c r="AY8" s="1209"/>
      <c r="AZ8" s="1209"/>
      <c r="BA8" s="1209"/>
      <c r="BB8" s="1209"/>
      <c r="BC8" s="1209"/>
      <c r="BD8" s="1209"/>
      <c r="BE8" s="1219"/>
      <c r="BM8" s="1200" t="s">
        <v>2290</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2622</v>
      </c>
      <c r="AG9" s="2218"/>
      <c r="AH9" s="2218"/>
      <c r="AI9" s="2218"/>
      <c r="AJ9" s="2218"/>
      <c r="AK9" s="2218"/>
      <c r="AL9" s="2218"/>
      <c r="AM9" s="2218"/>
      <c r="AN9" s="2218"/>
      <c r="AO9" s="2218"/>
      <c r="AP9" s="2219">
        <v>46266</v>
      </c>
      <c r="AQ9" s="2220"/>
      <c r="AR9" s="2220"/>
      <c r="AS9" s="2220"/>
      <c r="AT9" s="2220"/>
      <c r="AU9" s="2220"/>
      <c r="AV9" s="1209"/>
      <c r="AW9" s="1209"/>
      <c r="AX9" s="1209"/>
      <c r="AY9" s="1209"/>
      <c r="AZ9" s="1209"/>
      <c r="BA9" s="1209"/>
      <c r="BB9" s="1209"/>
      <c r="BC9" s="1209"/>
      <c r="BD9" s="1209"/>
      <c r="BE9" s="1219"/>
      <c r="BM9" s="1200" t="s">
        <v>2463</v>
      </c>
    </row>
    <row r="10" spans="1:65" ht="15">
      <c r="A10" s="1215"/>
      <c r="B10" s="1217" t="s">
        <v>1793</v>
      </c>
      <c r="C10" s="1217"/>
      <c r="D10" s="1217"/>
      <c r="E10" s="1217"/>
      <c r="F10" s="1217"/>
      <c r="G10" s="1217"/>
      <c r="H10" s="1217"/>
      <c r="I10" s="1217"/>
      <c r="J10" s="1217"/>
      <c r="K10" s="1217"/>
      <c r="L10" s="1217"/>
      <c r="M10" s="1209"/>
      <c r="N10" s="2548">
        <f>Application!AO627</f>
        <v>28500000</v>
      </c>
      <c r="O10" s="2548"/>
      <c r="P10" s="2548"/>
      <c r="Q10" s="2548"/>
      <c r="R10" s="2548"/>
      <c r="S10" s="2548"/>
      <c r="T10" s="2548"/>
      <c r="U10" s="1209"/>
      <c r="V10" s="1209"/>
      <c r="W10" s="1209"/>
      <c r="X10" s="1258"/>
      <c r="Y10" s="1258"/>
      <c r="Z10" s="1258"/>
      <c r="AA10" s="1258"/>
      <c r="AB10" s="1258"/>
      <c r="AC10" s="1258"/>
      <c r="AD10" s="1258"/>
      <c r="AE10" s="1258"/>
      <c r="AF10" s="2218" t="s">
        <v>2621</v>
      </c>
      <c r="AG10" s="2218"/>
      <c r="AH10" s="2218"/>
      <c r="AI10" s="2218"/>
      <c r="AJ10" s="2218"/>
      <c r="AK10" s="2218"/>
      <c r="AL10" s="2218"/>
      <c r="AM10" s="2218"/>
      <c r="AN10" s="2218"/>
      <c r="AO10" s="2218"/>
      <c r="AP10" s="2219">
        <v>46235</v>
      </c>
      <c r="AQ10" s="2220"/>
      <c r="AR10" s="2220"/>
      <c r="AS10" s="2220"/>
      <c r="AT10" s="2220"/>
      <c r="AU10" s="2220"/>
      <c r="AV10" s="1258"/>
      <c r="AW10" s="1258"/>
      <c r="AX10" s="1209"/>
      <c r="AY10" s="1209"/>
      <c r="AZ10" s="1209"/>
      <c r="BA10" s="1209"/>
      <c r="BB10" s="1209"/>
      <c r="BC10" s="1209"/>
      <c r="BD10" s="1209"/>
      <c r="BE10" s="1219"/>
      <c r="BM10" s="1200" t="s">
        <v>2465</v>
      </c>
    </row>
    <row r="11" spans="1:65" ht="15">
      <c r="A11" s="1215"/>
      <c r="B11" s="1217" t="s">
        <v>1794</v>
      </c>
      <c r="C11" s="1217"/>
      <c r="D11" s="1217"/>
      <c r="E11" s="1217"/>
      <c r="F11" s="1217"/>
      <c r="G11" s="1217"/>
      <c r="H11" s="1217"/>
      <c r="I11" s="1217"/>
      <c r="J11" s="1217"/>
      <c r="K11" s="1217"/>
      <c r="L11" s="1217"/>
      <c r="M11" s="1209"/>
      <c r="N11" s="2548">
        <f>Application!AA933</f>
        <v>1600000</v>
      </c>
      <c r="O11" s="2548"/>
      <c r="P11" s="2548"/>
      <c r="Q11" s="2548"/>
      <c r="R11" s="2548"/>
      <c r="S11" s="2548"/>
      <c r="T11" s="2548"/>
      <c r="U11" s="1209"/>
      <c r="V11" s="1209"/>
      <c r="W11" s="1209"/>
      <c r="X11" s="1258"/>
      <c r="Y11" s="1258"/>
      <c r="Z11" s="1258"/>
      <c r="AA11" s="1258"/>
      <c r="AB11" s="1258"/>
      <c r="AC11" s="1258"/>
      <c r="AD11" s="1258"/>
      <c r="AE11" s="1258"/>
      <c r="AF11" s="2218" t="s">
        <v>2620</v>
      </c>
      <c r="AG11" s="2218"/>
      <c r="AH11" s="2218"/>
      <c r="AI11" s="2218"/>
      <c r="AJ11" s="2218"/>
      <c r="AK11" s="2218"/>
      <c r="AL11" s="2218"/>
      <c r="AM11" s="2218"/>
      <c r="AN11" s="2218"/>
      <c r="AO11" s="2218"/>
      <c r="AP11" s="2219">
        <v>46419</v>
      </c>
      <c r="AQ11" s="2220"/>
      <c r="AR11" s="2220"/>
      <c r="AS11" s="2220"/>
      <c r="AT11" s="2220"/>
      <c r="AU11" s="2220"/>
      <c r="AV11" s="1258"/>
      <c r="AW11" s="1258"/>
      <c r="AX11" s="1209"/>
      <c r="AY11" s="1209"/>
      <c r="AZ11" s="1209"/>
      <c r="BA11" s="1209"/>
      <c r="BB11" s="1209"/>
      <c r="BC11" s="1209"/>
      <c r="BD11" s="1209"/>
      <c r="BE11" s="1219"/>
      <c r="BM11" s="1200" t="s">
        <v>2414</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thickBot="1">
      <c r="A13" s="1209"/>
      <c r="B13" s="2555" t="s">
        <v>1795</v>
      </c>
      <c r="C13" s="2556"/>
      <c r="D13" s="2556"/>
      <c r="E13" s="2556"/>
      <c r="F13" s="2556"/>
      <c r="G13" s="2556"/>
      <c r="H13" s="2556"/>
      <c r="I13" s="2556"/>
      <c r="J13" s="2556"/>
      <c r="K13" s="2556"/>
      <c r="L13" s="2556"/>
      <c r="M13" s="2556"/>
      <c r="N13" s="2556"/>
      <c r="O13" s="2556"/>
      <c r="P13" s="2557"/>
      <c r="Q13" s="2558" t="s">
        <v>678</v>
      </c>
      <c r="R13" s="2559"/>
      <c r="S13" s="2559"/>
      <c r="T13" s="2560"/>
      <c r="U13" s="1258"/>
      <c r="V13" s="1209"/>
      <c r="W13" s="1209"/>
      <c r="X13" s="1209"/>
      <c r="Y13" s="1209"/>
      <c r="Z13" s="1209"/>
      <c r="AA13" s="2549" t="s">
        <v>2464</v>
      </c>
      <c r="AB13" s="2549"/>
      <c r="AC13" s="2549"/>
      <c r="AD13" s="2549"/>
      <c r="AE13" s="2549"/>
      <c r="AF13" s="2549"/>
      <c r="AG13" s="2549"/>
      <c r="AH13" s="2549"/>
      <c r="AI13" s="2549"/>
      <c r="AJ13" s="2549"/>
      <c r="AK13" s="2549"/>
      <c r="AL13" s="2549"/>
      <c r="AM13" s="2549"/>
      <c r="AN13" s="2549"/>
      <c r="AO13" s="2550">
        <f>Application!W473</f>
        <v>0</v>
      </c>
      <c r="AP13" s="2551"/>
      <c r="AQ13" s="2551"/>
      <c r="AR13" s="2551"/>
      <c r="AS13" s="2551"/>
      <c r="AT13" s="1258"/>
      <c r="AU13" s="1258"/>
      <c r="AV13" s="1258"/>
      <c r="AW13" s="1258"/>
      <c r="AX13" s="1258"/>
      <c r="AY13" s="1258"/>
      <c r="AZ13" s="1258"/>
      <c r="BA13" s="1258"/>
      <c r="BB13" s="1258"/>
      <c r="BC13" s="1258"/>
      <c r="BD13" s="1258"/>
      <c r="BE13" s="1205"/>
      <c r="BM13" s="1200" t="s">
        <v>2469</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2466</v>
      </c>
      <c r="AB14" s="2552"/>
      <c r="AC14" s="2552"/>
      <c r="AD14" s="2552"/>
      <c r="AE14" s="2552"/>
      <c r="AF14" s="2552"/>
      <c r="AG14" s="2552"/>
      <c r="AH14" s="2552"/>
      <c r="AI14" s="2552"/>
      <c r="AJ14" s="2552"/>
      <c r="AK14" s="2552"/>
      <c r="AL14" s="2552"/>
      <c r="AM14" s="2552"/>
      <c r="AN14" s="2552"/>
      <c r="AO14" s="2553">
        <v>45335</v>
      </c>
      <c r="AP14" s="2554"/>
      <c r="AQ14" s="2554"/>
      <c r="AR14" s="2554"/>
      <c r="AS14" s="2554"/>
      <c r="AT14" s="1258"/>
      <c r="AU14" s="1258"/>
      <c r="AV14" s="1258"/>
      <c r="AW14" s="1258"/>
      <c r="AX14" s="1258"/>
      <c r="AY14" s="1258"/>
      <c r="AZ14" s="1258"/>
      <c r="BA14" s="1258"/>
      <c r="BB14" s="1258"/>
      <c r="BC14" s="1258"/>
      <c r="BD14" s="1258"/>
      <c r="BE14" s="1205"/>
    </row>
    <row r="15" spans="1:65" thickBot="1">
      <c r="A15" s="1209"/>
      <c r="B15" s="2561" t="s">
        <v>1796</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2467</v>
      </c>
      <c r="AB15" s="2549"/>
      <c r="AC15" s="2549"/>
      <c r="AD15" s="2549"/>
      <c r="AE15" s="2549"/>
      <c r="AF15" s="2549"/>
      <c r="AG15" s="2549"/>
      <c r="AH15" s="2549"/>
      <c r="AI15" s="2549"/>
      <c r="AJ15" s="2549"/>
      <c r="AK15" s="2549"/>
      <c r="AL15" s="2549"/>
      <c r="AM15" s="2549"/>
      <c r="AN15" s="2549"/>
      <c r="AO15" s="2553">
        <v>45405</v>
      </c>
      <c r="AP15" s="2554"/>
      <c r="AQ15" s="2554"/>
      <c r="AR15" s="2554"/>
      <c r="AS15" s="2554"/>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1797</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1" t="s">
        <v>1798</v>
      </c>
      <c r="C18" s="2542"/>
      <c r="D18" s="2542"/>
      <c r="E18" s="2542"/>
      <c r="F18" s="2542"/>
      <c r="G18" s="2542"/>
      <c r="H18" s="2542"/>
      <c r="I18" s="2543"/>
      <c r="J18" s="2544" t="s">
        <v>1699</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1799</v>
      </c>
      <c r="AU18" s="2545"/>
      <c r="AV18" s="2545"/>
      <c r="AW18" s="2545"/>
      <c r="AX18" s="2545"/>
      <c r="AY18" s="2547"/>
      <c r="AZ18" s="1209"/>
      <c r="BA18" s="1209"/>
      <c r="BB18" s="1209"/>
      <c r="BC18" s="1209"/>
      <c r="BD18" s="1209"/>
      <c r="BE18" s="1205"/>
    </row>
    <row r="19" spans="1:58" ht="15">
      <c r="A19" s="1209"/>
      <c r="B19" s="2518">
        <v>0.3</v>
      </c>
      <c r="C19" s="2519"/>
      <c r="D19" s="2519"/>
      <c r="E19" s="2519"/>
      <c r="F19" s="2519"/>
      <c r="G19" s="2519"/>
      <c r="H19" s="2519"/>
      <c r="I19" s="2520"/>
      <c r="J19" s="2521">
        <f t="shared" ref="J19:J28" si="0">SUM(P19:AS19)</f>
        <v>22</v>
      </c>
      <c r="K19" s="2522"/>
      <c r="L19" s="2522"/>
      <c r="M19" s="2522"/>
      <c r="N19" s="2522"/>
      <c r="O19" s="2523"/>
      <c r="P19" s="2521" cm="1">
        <f t="array" ref="P19">SUMPRODUCT((Application!$B$718:$B$752 = 'CalHFA Addendum'!P$18)*(Application!$AC$718:$AC$752 = 'CalHFA Addendum'!$B19),Application!$G$718:$G$752)</f>
        <v>0</v>
      </c>
      <c r="Q19" s="2522"/>
      <c r="R19" s="2522"/>
      <c r="S19" s="2522"/>
      <c r="T19" s="2522"/>
      <c r="U19" s="2523"/>
      <c r="V19" s="2521" cm="1">
        <f t="array" ref="V19">SUMPRODUCT((Application!$B$714:$B$738 = 'CalHFA Addendum'!V$18)*(Application!$AC$714:$AC$738 = 'CalHFA Addendum'!$B19),Application!$G$714:$G$738)</f>
        <v>7</v>
      </c>
      <c r="W19" s="2522"/>
      <c r="X19" s="2522"/>
      <c r="Y19" s="2522"/>
      <c r="Z19" s="2522"/>
      <c r="AA19" s="2523"/>
      <c r="AB19" s="2521" cm="1">
        <f t="array" ref="AB19">SUMPRODUCT((Application!$B$714:$B$738 = 'CalHFA Addendum'!AB$18)*(Application!$AC$714:$AC$738 = 'CalHFA Addendum'!$B19),Application!$G$714:$G$738)</f>
        <v>5</v>
      </c>
      <c r="AC19" s="2522"/>
      <c r="AD19" s="2522"/>
      <c r="AE19" s="2522"/>
      <c r="AF19" s="2522"/>
      <c r="AG19" s="2523"/>
      <c r="AH19" s="2521" cm="1">
        <f t="array" ref="AH19">SUMPRODUCT((Application!$B$714:$B$738 = 'CalHFA Addendum'!AH$18)*(Application!$AC$714:$AC$738 = 'CalHFA Addendum'!$B19),Application!$G$714:$G$738)</f>
        <v>7</v>
      </c>
      <c r="AI19" s="2522"/>
      <c r="AJ19" s="2522"/>
      <c r="AK19" s="2522"/>
      <c r="AL19" s="2522"/>
      <c r="AM19" s="2523"/>
      <c r="AN19" s="2521" cm="1">
        <f t="array" ref="AN19">SUMPRODUCT((Application!$B$714:$B$738 = 'CalHFA Addendum'!AN$18)*(Application!$AC$714:$AC$738 = 'CalHFA Addendum'!$B19),Application!$G$714:$G$738)</f>
        <v>3</v>
      </c>
      <c r="AO19" s="2522"/>
      <c r="AP19" s="2522"/>
      <c r="AQ19" s="2522"/>
      <c r="AR19" s="2522"/>
      <c r="AS19" s="2523"/>
      <c r="AT19" s="2524">
        <f t="shared" ref="AT19:AT29" si="1">J19/$J$29</f>
        <v>0.1164021164021164</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9"/>
      <c r="BA20" s="1209"/>
      <c r="BB20" s="1209"/>
      <c r="BC20" s="1209"/>
      <c r="BD20" s="1209"/>
      <c r="BE20" s="1205"/>
    </row>
    <row r="21" spans="1:58" ht="15">
      <c r="A21" s="1209"/>
      <c r="B21" s="2518">
        <v>0.5</v>
      </c>
      <c r="C21" s="2519"/>
      <c r="D21" s="2519"/>
      <c r="E21" s="2519"/>
      <c r="F21" s="2519"/>
      <c r="G21" s="2519"/>
      <c r="H21" s="2519"/>
      <c r="I21" s="2520"/>
      <c r="J21" s="2521">
        <f t="shared" si="0"/>
        <v>27</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9</v>
      </c>
      <c r="W21" s="2522"/>
      <c r="X21" s="2522"/>
      <c r="Y21" s="2522"/>
      <c r="Z21" s="2522"/>
      <c r="AA21" s="2523"/>
      <c r="AB21" s="2521" cm="1">
        <f t="array" ref="AB21">SUMPRODUCT((Application!$B$714:$B$738 = 'CalHFA Addendum'!AB$18)*(Application!$AC$714:$AC$738 = 'CalHFA Addendum'!$B21),Application!$G$714:$G$738)</f>
        <v>7</v>
      </c>
      <c r="AC21" s="2522"/>
      <c r="AD21" s="2522"/>
      <c r="AE21" s="2522"/>
      <c r="AF21" s="2522"/>
      <c r="AG21" s="2523"/>
      <c r="AH21" s="2521" cm="1">
        <f t="array" ref="AH21">SUMPRODUCT((Application!$B$714:$B$738 = 'CalHFA Addendum'!AH$18)*(Application!$AC$714:$AC$738 = 'CalHFA Addendum'!$B21),Application!$G$714:$G$738)</f>
        <v>8</v>
      </c>
      <c r="AI21" s="2522"/>
      <c r="AJ21" s="2522"/>
      <c r="AK21" s="2522"/>
      <c r="AL21" s="2522"/>
      <c r="AM21" s="2523"/>
      <c r="AN21" s="2521" cm="1">
        <f t="array" ref="AN21">SUMPRODUCT((Application!$B$714:$B$738 = 'CalHFA Addendum'!AN$18)*(Application!$AC$714:$AC$738 = 'CalHFA Addendum'!$B21),Application!$G$714:$G$738)</f>
        <v>3</v>
      </c>
      <c r="AO21" s="2522"/>
      <c r="AP21" s="2522"/>
      <c r="AQ21" s="2522"/>
      <c r="AR21" s="2522"/>
      <c r="AS21" s="2523"/>
      <c r="AT21" s="2524">
        <f t="shared" si="1"/>
        <v>0.14285714285714285</v>
      </c>
      <c r="AU21" s="2525"/>
      <c r="AV21" s="2525"/>
      <c r="AW21" s="2525"/>
      <c r="AX21" s="2525"/>
      <c r="AY21" s="2526"/>
      <c r="AZ21" s="1209"/>
      <c r="BA21" s="1209"/>
      <c r="BB21" s="1209"/>
      <c r="BC21" s="1209"/>
      <c r="BD21" s="1209"/>
      <c r="BE21" s="1205"/>
    </row>
    <row r="22" spans="1:58" ht="15">
      <c r="A22" s="1209"/>
      <c r="B22" s="2518">
        <v>0.6</v>
      </c>
      <c r="C22" s="2519"/>
      <c r="D22" s="2519"/>
      <c r="E22" s="2519"/>
      <c r="F22" s="2519"/>
      <c r="G22" s="2519"/>
      <c r="H22" s="2519"/>
      <c r="I22" s="2520"/>
      <c r="J22" s="2521">
        <f t="shared" si="0"/>
        <v>52</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18</v>
      </c>
      <c r="W22" s="2522"/>
      <c r="X22" s="2522"/>
      <c r="Y22" s="2522"/>
      <c r="Z22" s="2522"/>
      <c r="AA22" s="2523"/>
      <c r="AB22" s="2521" cm="1">
        <f t="array" ref="AB22">SUMPRODUCT((Application!$B$714:$B$738 = 'CalHFA Addendum'!AB$18)*(Application!$AC$714:$AC$738 = 'CalHFA Addendum'!$B22),Application!$G$714:$G$738)</f>
        <v>13</v>
      </c>
      <c r="AC22" s="2522"/>
      <c r="AD22" s="2522"/>
      <c r="AE22" s="2522"/>
      <c r="AF22" s="2522"/>
      <c r="AG22" s="2523"/>
      <c r="AH22" s="2521" cm="1">
        <f t="array" ref="AH22">SUMPRODUCT((Application!$B$714:$B$738 = 'CalHFA Addendum'!AH$18)*(Application!$AC$714:$AC$738 = 'CalHFA Addendum'!$B22),Application!$G$714:$G$738)</f>
        <v>15</v>
      </c>
      <c r="AI22" s="2522"/>
      <c r="AJ22" s="2522"/>
      <c r="AK22" s="2522"/>
      <c r="AL22" s="2522"/>
      <c r="AM22" s="2523"/>
      <c r="AN22" s="2521" cm="1">
        <f t="array" ref="AN22">SUMPRODUCT((Application!$B$714:$B$738 = 'CalHFA Addendum'!AN$18)*(Application!$AC$714:$AC$738 = 'CalHFA Addendum'!$B22),Application!$G$714:$G$738)</f>
        <v>6</v>
      </c>
      <c r="AO22" s="2522"/>
      <c r="AP22" s="2522"/>
      <c r="AQ22" s="2522"/>
      <c r="AR22" s="2522"/>
      <c r="AS22" s="2523"/>
      <c r="AT22" s="2524">
        <f t="shared" si="1"/>
        <v>0.27513227513227512</v>
      </c>
      <c r="AU22" s="2525"/>
      <c r="AV22" s="2525"/>
      <c r="AW22" s="2525"/>
      <c r="AX22" s="2525"/>
      <c r="AY22" s="2526"/>
      <c r="AZ22" s="1209"/>
      <c r="BA22" s="1209"/>
      <c r="BB22" s="1209"/>
      <c r="BC22" s="1209"/>
      <c r="BD22" s="1209"/>
      <c r="BE22" s="1205"/>
    </row>
    <row r="23" spans="1:58" ht="15">
      <c r="A23" s="1209"/>
      <c r="B23" s="2518">
        <v>0.7</v>
      </c>
      <c r="C23" s="2519"/>
      <c r="D23" s="2519"/>
      <c r="E23" s="2519"/>
      <c r="F23" s="2519"/>
      <c r="G23" s="2519"/>
      <c r="H23" s="2519"/>
      <c r="I23" s="2520"/>
      <c r="J23" s="2521">
        <f t="shared" si="0"/>
        <v>88</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30</v>
      </c>
      <c r="W23" s="2522"/>
      <c r="X23" s="2522"/>
      <c r="Y23" s="2522"/>
      <c r="Z23" s="2522"/>
      <c r="AA23" s="2523"/>
      <c r="AB23" s="2521" cm="1">
        <f t="array" ref="AB23">SUMPRODUCT((Application!$B$714:$B$738 = 'CalHFA Addendum'!AB$18)*(Application!$AC$714:$AC$738 = 'CalHFA Addendum'!$B23),Application!$G$714:$G$738)</f>
        <v>21</v>
      </c>
      <c r="AC23" s="2522"/>
      <c r="AD23" s="2522"/>
      <c r="AE23" s="2522"/>
      <c r="AF23" s="2522"/>
      <c r="AG23" s="2523"/>
      <c r="AH23" s="2521" cm="1">
        <f t="array" ref="AH23">SUMPRODUCT((Application!$B$714:$B$738 = 'CalHFA Addendum'!AH$18)*(Application!$AC$714:$AC$738 = 'CalHFA Addendum'!$B23),Application!$G$714:$G$738)</f>
        <v>27</v>
      </c>
      <c r="AI23" s="2522"/>
      <c r="AJ23" s="2522"/>
      <c r="AK23" s="2522"/>
      <c r="AL23" s="2522"/>
      <c r="AM23" s="2523"/>
      <c r="AN23" s="2521" cm="1">
        <f t="array" ref="AN23">SUMPRODUCT((Application!$B$714:$B$738 = 'CalHFA Addendum'!AN$18)*(Application!$AC$714:$AC$738 = 'CalHFA Addendum'!$B23),Application!$G$714:$G$738)</f>
        <v>10</v>
      </c>
      <c r="AO23" s="2522"/>
      <c r="AP23" s="2522"/>
      <c r="AQ23" s="2522"/>
      <c r="AR23" s="2522"/>
      <c r="AS23" s="2523"/>
      <c r="AT23" s="2524">
        <f t="shared" si="1"/>
        <v>0.46560846560846558</v>
      </c>
      <c r="AU23" s="2525"/>
      <c r="AV23" s="2525"/>
      <c r="AW23" s="2525"/>
      <c r="AX23" s="2525"/>
      <c r="AY23" s="2526"/>
      <c r="AZ23" s="1209"/>
      <c r="BA23" s="1209"/>
      <c r="BB23" s="1209"/>
      <c r="BC23" s="1209"/>
      <c r="BD23" s="1209"/>
      <c r="BE23" s="1205"/>
    </row>
    <row r="24" spans="1:58" ht="15">
      <c r="A24" s="1209"/>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9"/>
      <c r="BA24" s="1209"/>
      <c r="BB24" s="1209"/>
      <c r="BC24" s="1209"/>
      <c r="BD24" s="1209"/>
      <c r="BE24" s="1205"/>
    </row>
    <row r="25" spans="1:58" ht="1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thickBot="1">
      <c r="A28" s="1209"/>
      <c r="B28" s="2527" t="s">
        <v>1800</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thickBot="1">
      <c r="A29" s="1209"/>
      <c r="B29" s="2507" t="s">
        <v>1699</v>
      </c>
      <c r="C29" s="2485"/>
      <c r="D29" s="2485"/>
      <c r="E29" s="2485"/>
      <c r="F29" s="2485"/>
      <c r="G29" s="2485"/>
      <c r="H29" s="2485"/>
      <c r="I29" s="2486"/>
      <c r="J29" s="2484">
        <f>SUM(J19:O28)</f>
        <v>189</v>
      </c>
      <c r="K29" s="2485"/>
      <c r="L29" s="2485"/>
      <c r="M29" s="2485"/>
      <c r="N29" s="2485"/>
      <c r="O29" s="2486"/>
      <c r="P29" s="2484">
        <f>SUM(P19:U28)</f>
        <v>0</v>
      </c>
      <c r="Q29" s="2485"/>
      <c r="R29" s="2485"/>
      <c r="S29" s="2485"/>
      <c r="T29" s="2485"/>
      <c r="U29" s="2486"/>
      <c r="V29" s="2484">
        <f>SUM(V19:AA28)</f>
        <v>64</v>
      </c>
      <c r="W29" s="2485"/>
      <c r="X29" s="2485"/>
      <c r="Y29" s="2485"/>
      <c r="Z29" s="2485"/>
      <c r="AA29" s="2486"/>
      <c r="AB29" s="2484">
        <f>SUM(AB19:AG28)</f>
        <v>46</v>
      </c>
      <c r="AC29" s="2485"/>
      <c r="AD29" s="2485"/>
      <c r="AE29" s="2485"/>
      <c r="AF29" s="2485"/>
      <c r="AG29" s="2486"/>
      <c r="AH29" s="2484">
        <f>SUM(AH19:AM28)</f>
        <v>57</v>
      </c>
      <c r="AI29" s="2485"/>
      <c r="AJ29" s="2485"/>
      <c r="AK29" s="2485"/>
      <c r="AL29" s="2485"/>
      <c r="AM29" s="2486"/>
      <c r="AN29" s="2484">
        <f>SUM(AN19:AS28)</f>
        <v>22</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8" t="s">
        <v>1801</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thickBot="1">
      <c r="A32" s="1209"/>
      <c r="B32" s="2503" t="s">
        <v>2470</v>
      </c>
      <c r="C32" s="2504"/>
      <c r="D32" s="2504"/>
      <c r="E32" s="2504"/>
      <c r="F32" s="2504"/>
      <c r="G32" s="2504"/>
      <c r="H32" s="2504"/>
      <c r="I32" s="2504"/>
      <c r="J32" s="2536" t="s">
        <v>2471</v>
      </c>
      <c r="K32" s="2537"/>
      <c r="L32" s="2537"/>
      <c r="M32" s="2537"/>
      <c r="N32" s="2536" t="s">
        <v>1802</v>
      </c>
      <c r="O32" s="2537"/>
      <c r="P32" s="2537"/>
      <c r="Q32" s="2539"/>
      <c r="R32" s="2497" t="s">
        <v>1803</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1804</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1805</v>
      </c>
      <c r="AT35" s="2515"/>
      <c r="AU35" s="2515"/>
      <c r="AV35" s="2515"/>
      <c r="AW35" s="2515"/>
      <c r="AX35" s="2516"/>
      <c r="AY35" s="2514" t="s">
        <v>1806</v>
      </c>
      <c r="AZ35" s="2515"/>
      <c r="BA35" s="2515"/>
      <c r="BB35" s="2515"/>
      <c r="BC35" s="2515"/>
      <c r="BD35" s="2517"/>
      <c r="BE35" s="1205"/>
    </row>
    <row r="36" spans="1:58" ht="15.75" customHeight="1">
      <c r="A36" s="1209"/>
      <c r="B36" s="2243" t="s">
        <v>1807</v>
      </c>
      <c r="C36" s="2244"/>
      <c r="D36" s="2244"/>
      <c r="E36" s="2244"/>
      <c r="F36" s="2244"/>
      <c r="G36" s="2244"/>
      <c r="H36" s="2244"/>
      <c r="I36" s="2244"/>
      <c r="J36" s="2477" t="s">
        <v>1808</v>
      </c>
      <c r="K36" s="2477"/>
      <c r="L36" s="2477"/>
      <c r="M36" s="2477"/>
      <c r="N36" s="2477">
        <v>55</v>
      </c>
      <c r="O36" s="2477"/>
      <c r="P36" s="2477"/>
      <c r="Q36" s="2477"/>
      <c r="R36" s="2221"/>
      <c r="S36" s="2221"/>
      <c r="T36" s="2221"/>
      <c r="U36" s="2221"/>
      <c r="V36" s="2221"/>
      <c r="W36" s="2221"/>
      <c r="X36" s="2221"/>
      <c r="Y36" s="2221"/>
      <c r="Z36" s="2221">
        <f>9+7+2+6+3</f>
        <v>27</v>
      </c>
      <c r="AA36" s="2221"/>
      <c r="AB36" s="2221"/>
      <c r="AC36" s="2221"/>
      <c r="AD36" s="2221">
        <f>18+13+4+11+6</f>
        <v>52</v>
      </c>
      <c r="AE36" s="2221"/>
      <c r="AF36" s="2221"/>
      <c r="AG36" s="2221"/>
      <c r="AH36" s="2221"/>
      <c r="AI36" s="2221"/>
      <c r="AJ36" s="2221"/>
      <c r="AK36" s="2221"/>
      <c r="AL36" s="2222"/>
      <c r="AM36" s="2223"/>
      <c r="AN36" s="2223"/>
      <c r="AO36" s="2224"/>
      <c r="AP36" s="2222"/>
      <c r="AQ36" s="2223"/>
      <c r="AR36" s="2224"/>
      <c r="AS36" s="2225">
        <f t="shared" ref="AS36:AS47" si="2">SUM(R36:AR36)</f>
        <v>79</v>
      </c>
      <c r="AT36" s="2226"/>
      <c r="AU36" s="2226"/>
      <c r="AV36" s="2226"/>
      <c r="AW36" s="2226"/>
      <c r="AX36" s="2227"/>
      <c r="AY36" s="2481">
        <f t="shared" ref="AY36:AY47" si="3">AS36/$J$29</f>
        <v>0.41798941798941797</v>
      </c>
      <c r="AZ36" s="2482"/>
      <c r="BA36" s="2482"/>
      <c r="BB36" s="2482"/>
      <c r="BC36" s="2482"/>
      <c r="BD36" s="2483"/>
      <c r="BE36" s="1205"/>
    </row>
    <row r="37" spans="1:58" ht="15.75" customHeight="1">
      <c r="A37" s="1209"/>
      <c r="B37" s="2243" t="s">
        <v>2472</v>
      </c>
      <c r="C37" s="2244"/>
      <c r="D37" s="2244"/>
      <c r="E37" s="2244"/>
      <c r="F37" s="2244"/>
      <c r="G37" s="2244"/>
      <c r="H37" s="2244"/>
      <c r="I37" s="2244"/>
      <c r="J37" s="2477" t="s">
        <v>1809</v>
      </c>
      <c r="K37" s="2477"/>
      <c r="L37" s="2477"/>
      <c r="M37" s="2477"/>
      <c r="N37" s="2477">
        <v>55</v>
      </c>
      <c r="O37" s="2477"/>
      <c r="P37" s="2477"/>
      <c r="Q37" s="2477"/>
      <c r="R37" s="2221">
        <f>189*0.1</f>
        <v>18.900000000000002</v>
      </c>
      <c r="S37" s="2221"/>
      <c r="T37" s="2221"/>
      <c r="U37" s="2221"/>
      <c r="V37" s="2221"/>
      <c r="W37" s="2221"/>
      <c r="X37" s="2221"/>
      <c r="Y37" s="2221"/>
      <c r="Z37" s="2221">
        <f>189*0.2</f>
        <v>37.800000000000004</v>
      </c>
      <c r="AA37" s="2221"/>
      <c r="AB37" s="2221"/>
      <c r="AC37" s="2221"/>
      <c r="AD37" s="2221"/>
      <c r="AE37" s="2221"/>
      <c r="AF37" s="2221"/>
      <c r="AG37" s="2221"/>
      <c r="AH37" s="2221"/>
      <c r="AI37" s="2221"/>
      <c r="AJ37" s="2221"/>
      <c r="AK37" s="2221"/>
      <c r="AL37" s="2222">
        <f>189*0.1</f>
        <v>18.900000000000002</v>
      </c>
      <c r="AM37" s="2223"/>
      <c r="AN37" s="2223"/>
      <c r="AO37" s="2224"/>
      <c r="AP37" s="2222">
        <f>189-R37-Z37-AL37</f>
        <v>113.39999999999998</v>
      </c>
      <c r="AQ37" s="2223"/>
      <c r="AR37" s="2224"/>
      <c r="AS37" s="2225">
        <f t="shared" si="2"/>
        <v>189</v>
      </c>
      <c r="AT37" s="2226"/>
      <c r="AU37" s="2226"/>
      <c r="AV37" s="2226"/>
      <c r="AW37" s="2226"/>
      <c r="AX37" s="2227"/>
      <c r="AY37" s="2481">
        <f t="shared" si="3"/>
        <v>1</v>
      </c>
      <c r="AZ37" s="2482"/>
      <c r="BA37" s="2482"/>
      <c r="BB37" s="2482"/>
      <c r="BC37" s="2482"/>
      <c r="BD37" s="2483"/>
      <c r="BE37" s="1205"/>
    </row>
    <row r="38" spans="1:58" ht="15.75" customHeight="1">
      <c r="A38" s="1209"/>
      <c r="B38" s="2243" t="s">
        <v>2411</v>
      </c>
      <c r="C38" s="2244"/>
      <c r="D38" s="2244"/>
      <c r="E38" s="2244"/>
      <c r="F38" s="2244"/>
      <c r="G38" s="2244"/>
      <c r="H38" s="2244"/>
      <c r="I38" s="2244"/>
      <c r="J38" s="2477" t="s">
        <v>1810</v>
      </c>
      <c r="K38" s="2477"/>
      <c r="L38" s="2477"/>
      <c r="M38" s="2477"/>
      <c r="N38" s="2477">
        <v>55</v>
      </c>
      <c r="O38" s="2477"/>
      <c r="P38" s="2477"/>
      <c r="Q38" s="2477"/>
      <c r="R38" s="2221">
        <v>22</v>
      </c>
      <c r="S38" s="2221"/>
      <c r="T38" s="2221"/>
      <c r="U38" s="2221"/>
      <c r="V38" s="2221"/>
      <c r="W38" s="2221"/>
      <c r="X38" s="2221"/>
      <c r="Y38" s="2221"/>
      <c r="Z38" s="2221">
        <v>27</v>
      </c>
      <c r="AA38" s="2221"/>
      <c r="AB38" s="2221"/>
      <c r="AC38" s="2221"/>
      <c r="AD38" s="2221">
        <v>52</v>
      </c>
      <c r="AE38" s="2221"/>
      <c r="AF38" s="2221"/>
      <c r="AG38" s="2221"/>
      <c r="AH38" s="2221">
        <v>88</v>
      </c>
      <c r="AI38" s="2221"/>
      <c r="AJ38" s="2221"/>
      <c r="AK38" s="2221"/>
      <c r="AL38" s="2222"/>
      <c r="AM38" s="2223"/>
      <c r="AN38" s="2223"/>
      <c r="AO38" s="2224"/>
      <c r="AP38" s="2222"/>
      <c r="AQ38" s="2223"/>
      <c r="AR38" s="2224"/>
      <c r="AS38" s="2225">
        <f t="shared" si="2"/>
        <v>189</v>
      </c>
      <c r="AT38" s="2226"/>
      <c r="AU38" s="2226"/>
      <c r="AV38" s="2226"/>
      <c r="AW38" s="2226"/>
      <c r="AX38" s="2227"/>
      <c r="AY38" s="2481">
        <f t="shared" si="3"/>
        <v>1</v>
      </c>
      <c r="AZ38" s="2482"/>
      <c r="BA38" s="2482"/>
      <c r="BB38" s="2482"/>
      <c r="BC38" s="2482"/>
      <c r="BD38" s="2483"/>
      <c r="BE38" s="1205"/>
    </row>
    <row r="39" spans="1:58" ht="15.75" customHeight="1">
      <c r="A39" s="1209"/>
      <c r="B39" s="2243" t="s">
        <v>1811</v>
      </c>
      <c r="C39" s="2244"/>
      <c r="D39" s="2244"/>
      <c r="E39" s="2244"/>
      <c r="F39" s="2244"/>
      <c r="G39" s="2244"/>
      <c r="H39" s="2244"/>
      <c r="I39" s="2244"/>
      <c r="J39" s="2477"/>
      <c r="K39" s="2477"/>
      <c r="L39" s="2477"/>
      <c r="M39" s="2477"/>
      <c r="N39" s="2477"/>
      <c r="O39" s="2477"/>
      <c r="P39" s="2477"/>
      <c r="Q39" s="2477"/>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81">
        <f t="shared" si="3"/>
        <v>0</v>
      </c>
      <c r="AZ39" s="2482"/>
      <c r="BA39" s="2482"/>
      <c r="BB39" s="2482"/>
      <c r="BC39" s="2482"/>
      <c r="BD39" s="2483"/>
      <c r="BE39" s="1205"/>
    </row>
    <row r="40" spans="1:58" ht="15.75" customHeight="1">
      <c r="A40" s="1209"/>
      <c r="B40" s="2243" t="s">
        <v>1811</v>
      </c>
      <c r="C40" s="2244"/>
      <c r="D40" s="2244"/>
      <c r="E40" s="2244"/>
      <c r="F40" s="2244"/>
      <c r="G40" s="2244"/>
      <c r="H40" s="2244"/>
      <c r="I40" s="2244"/>
      <c r="J40" s="2477"/>
      <c r="K40" s="2477"/>
      <c r="L40" s="2477"/>
      <c r="M40" s="2477"/>
      <c r="N40" s="2477"/>
      <c r="O40" s="2477"/>
      <c r="P40" s="2477"/>
      <c r="Q40" s="2477"/>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81">
        <f t="shared" si="3"/>
        <v>0</v>
      </c>
      <c r="AZ40" s="2482"/>
      <c r="BA40" s="2482"/>
      <c r="BB40" s="2482"/>
      <c r="BC40" s="2482"/>
      <c r="BD40" s="2483"/>
      <c r="BE40" s="1205"/>
    </row>
    <row r="41" spans="1:58" ht="15.75" customHeight="1">
      <c r="A41" s="1209"/>
      <c r="B41" s="2243" t="s">
        <v>1812</v>
      </c>
      <c r="C41" s="2244"/>
      <c r="D41" s="2244"/>
      <c r="E41" s="2244"/>
      <c r="F41" s="2244"/>
      <c r="G41" s="2244"/>
      <c r="H41" s="2244"/>
      <c r="I41" s="2244"/>
      <c r="J41" s="2477"/>
      <c r="K41" s="2477"/>
      <c r="L41" s="2477"/>
      <c r="M41" s="2477"/>
      <c r="N41" s="2477"/>
      <c r="O41" s="2477"/>
      <c r="P41" s="2477"/>
      <c r="Q41" s="2477"/>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81">
        <f t="shared" si="3"/>
        <v>0</v>
      </c>
      <c r="AZ41" s="2482"/>
      <c r="BA41" s="2482"/>
      <c r="BB41" s="2482"/>
      <c r="BC41" s="2482"/>
      <c r="BD41" s="2483"/>
      <c r="BE41" s="1205"/>
    </row>
    <row r="42" spans="1:58" ht="15.75" customHeight="1">
      <c r="A42" s="1209"/>
      <c r="B42" s="2243" t="s">
        <v>1812</v>
      </c>
      <c r="C42" s="2244"/>
      <c r="D42" s="2244"/>
      <c r="E42" s="2244"/>
      <c r="F42" s="2244"/>
      <c r="G42" s="2244"/>
      <c r="H42" s="2244"/>
      <c r="I42" s="2244"/>
      <c r="J42" s="2477"/>
      <c r="K42" s="2477"/>
      <c r="L42" s="2477"/>
      <c r="M42" s="2477"/>
      <c r="N42" s="2477"/>
      <c r="O42" s="2477"/>
      <c r="P42" s="2477"/>
      <c r="Q42" s="2477"/>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81">
        <f t="shared" si="3"/>
        <v>0</v>
      </c>
      <c r="AZ42" s="2482"/>
      <c r="BA42" s="2482"/>
      <c r="BB42" s="2482"/>
      <c r="BC42" s="2482"/>
      <c r="BD42" s="2483"/>
      <c r="BE42" s="1205"/>
    </row>
    <row r="43" spans="1:58" ht="15.75" customHeight="1">
      <c r="A43" s="1209"/>
      <c r="B43" s="2214" t="s">
        <v>1813</v>
      </c>
      <c r="C43" s="2215"/>
      <c r="D43" s="2215"/>
      <c r="E43" s="2215"/>
      <c r="F43" s="2215"/>
      <c r="G43" s="2215"/>
      <c r="H43" s="2215"/>
      <c r="I43" s="2215"/>
      <c r="J43" s="2477"/>
      <c r="K43" s="2477"/>
      <c r="L43" s="2477"/>
      <c r="M43" s="2477"/>
      <c r="N43" s="2477"/>
      <c r="O43" s="2477"/>
      <c r="P43" s="2477"/>
      <c r="Q43" s="2477"/>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81">
        <f t="shared" si="3"/>
        <v>0</v>
      </c>
      <c r="AZ43" s="2482"/>
      <c r="BA43" s="2482"/>
      <c r="BB43" s="2482"/>
      <c r="BC43" s="2482"/>
      <c r="BD43" s="2483"/>
      <c r="BE43" s="1205"/>
    </row>
    <row r="44" spans="1:58" ht="15.75" customHeight="1">
      <c r="A44" s="1209"/>
      <c r="B44" s="2214" t="s">
        <v>1814</v>
      </c>
      <c r="C44" s="2215"/>
      <c r="D44" s="2215"/>
      <c r="E44" s="2215"/>
      <c r="F44" s="2215"/>
      <c r="G44" s="2215"/>
      <c r="H44" s="2215"/>
      <c r="I44" s="2215"/>
      <c r="J44" s="2477"/>
      <c r="K44" s="2477"/>
      <c r="L44" s="2477"/>
      <c r="M44" s="2477"/>
      <c r="N44" s="2477"/>
      <c r="O44" s="2477"/>
      <c r="P44" s="2477"/>
      <c r="Q44" s="2477"/>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81">
        <f t="shared" si="3"/>
        <v>0</v>
      </c>
      <c r="AZ44" s="2482"/>
      <c r="BA44" s="2482"/>
      <c r="BB44" s="2482"/>
      <c r="BC44" s="2482"/>
      <c r="BD44" s="2483"/>
      <c r="BE44" s="1205"/>
    </row>
    <row r="45" spans="1:58" ht="15.75" customHeight="1">
      <c r="A45" s="1209"/>
      <c r="B45" s="2214" t="s">
        <v>1815</v>
      </c>
      <c r="C45" s="2215"/>
      <c r="D45" s="2215"/>
      <c r="E45" s="2215"/>
      <c r="F45" s="2215"/>
      <c r="G45" s="2215"/>
      <c r="H45" s="2215"/>
      <c r="I45" s="2215"/>
      <c r="J45" s="2477"/>
      <c r="K45" s="2477"/>
      <c r="L45" s="2477"/>
      <c r="M45" s="2477"/>
      <c r="N45" s="2477"/>
      <c r="O45" s="2477"/>
      <c r="P45" s="2477"/>
      <c r="Q45" s="2477"/>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81">
        <f t="shared" si="3"/>
        <v>0</v>
      </c>
      <c r="AZ45" s="2482"/>
      <c r="BA45" s="2482"/>
      <c r="BB45" s="2482"/>
      <c r="BC45" s="2482"/>
      <c r="BD45" s="2483"/>
      <c r="BE45" s="1205"/>
    </row>
    <row r="46" spans="1:58" ht="15.75" customHeight="1">
      <c r="A46" s="1209"/>
      <c r="B46" s="2214" t="s">
        <v>1816</v>
      </c>
      <c r="C46" s="2215"/>
      <c r="D46" s="2215"/>
      <c r="E46" s="2215"/>
      <c r="F46" s="2215"/>
      <c r="G46" s="2215"/>
      <c r="H46" s="2215"/>
      <c r="I46" s="2215"/>
      <c r="J46" s="2477"/>
      <c r="K46" s="2477"/>
      <c r="L46" s="2477"/>
      <c r="M46" s="2477"/>
      <c r="N46" s="2477">
        <v>99</v>
      </c>
      <c r="O46" s="2477"/>
      <c r="P46" s="2477"/>
      <c r="Q46" s="2477"/>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81">
        <f t="shared" si="3"/>
        <v>0</v>
      </c>
      <c r="AZ46" s="2482"/>
      <c r="BA46" s="2482"/>
      <c r="BB46" s="2482"/>
      <c r="BC46" s="2482"/>
      <c r="BD46" s="2483"/>
      <c r="BE46" s="1205"/>
    </row>
    <row r="47" spans="1:58" ht="15.75" customHeight="1" thickBot="1">
      <c r="A47" s="1209"/>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5">
        <f t="shared" si="2"/>
        <v>0</v>
      </c>
      <c r="AT47" s="2226"/>
      <c r="AU47" s="2226"/>
      <c r="AV47" s="2226"/>
      <c r="AW47" s="2226"/>
      <c r="AX47" s="2227"/>
      <c r="AY47" s="2478">
        <f t="shared" si="3"/>
        <v>0</v>
      </c>
      <c r="AZ47" s="2479"/>
      <c r="BA47" s="2479"/>
      <c r="BB47" s="2479"/>
      <c r="BC47" s="2479"/>
      <c r="BD47" s="2480"/>
      <c r="BE47" s="1205"/>
    </row>
    <row r="48" spans="1:58" ht="15.75"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1817</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1818</v>
      </c>
      <c r="C51" s="2175"/>
      <c r="D51" s="2175"/>
      <c r="E51" s="2175"/>
      <c r="F51" s="2175"/>
      <c r="G51" s="2175"/>
      <c r="H51" s="2175"/>
      <c r="I51" s="2175"/>
      <c r="J51" s="2175" t="s">
        <v>2474</v>
      </c>
      <c r="K51" s="2175"/>
      <c r="L51" s="2175"/>
      <c r="M51" s="2175"/>
      <c r="N51" s="2175"/>
      <c r="O51" s="2175"/>
      <c r="P51" s="2175"/>
      <c r="Q51" s="2175"/>
      <c r="R51" s="2468" t="s">
        <v>2475</v>
      </c>
      <c r="S51" s="2468"/>
      <c r="T51" s="2468"/>
      <c r="U51" s="2468"/>
      <c r="V51" s="2468"/>
      <c r="W51" s="2468"/>
      <c r="X51" s="2468"/>
      <c r="Y51" s="2468"/>
      <c r="Z51" s="2468" t="s">
        <v>1819</v>
      </c>
      <c r="AA51" s="2468"/>
      <c r="AB51" s="2468"/>
      <c r="AC51" s="2468"/>
      <c r="AD51" s="2468"/>
      <c r="AE51" s="2468"/>
      <c r="AF51" s="2468"/>
      <c r="AG51" s="2468"/>
      <c r="AH51" s="2468" t="s">
        <v>1820</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2760</v>
      </c>
      <c r="C52" s="2215"/>
      <c r="D52" s="2215"/>
      <c r="E52" s="2215"/>
      <c r="F52" s="2215"/>
      <c r="G52" s="2215"/>
      <c r="H52" s="2215"/>
      <c r="I52" s="2215"/>
      <c r="J52" s="2348">
        <v>15</v>
      </c>
      <c r="K52" s="2348"/>
      <c r="L52" s="2348"/>
      <c r="M52" s="2348"/>
      <c r="N52" s="2348"/>
      <c r="O52" s="2348"/>
      <c r="P52" s="2348"/>
      <c r="Q52" s="2348"/>
      <c r="R52" s="2456">
        <f>Application!AC888</f>
        <v>33240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c r="C53" s="2215"/>
      <c r="D53" s="2215"/>
      <c r="E53" s="2215"/>
      <c r="F53" s="2215"/>
      <c r="G53" s="2215"/>
      <c r="H53" s="2215"/>
      <c r="I53" s="2215"/>
      <c r="J53" s="2348"/>
      <c r="K53" s="2348"/>
      <c r="L53" s="2348"/>
      <c r="M53" s="2348"/>
      <c r="N53" s="2348"/>
      <c r="O53" s="2348"/>
      <c r="P53" s="2348"/>
      <c r="Q53" s="2348"/>
      <c r="R53" s="2456"/>
      <c r="S53" s="2456"/>
      <c r="T53" s="2456"/>
      <c r="U53" s="2456"/>
      <c r="V53" s="2456"/>
      <c r="W53" s="2456"/>
      <c r="X53" s="2456"/>
      <c r="Y53" s="2456"/>
      <c r="Z53" s="2457"/>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1699</v>
      </c>
      <c r="C57" s="2169"/>
      <c r="D57" s="2169"/>
      <c r="E57" s="2169"/>
      <c r="F57" s="2169"/>
      <c r="G57" s="2169"/>
      <c r="H57" s="2169"/>
      <c r="I57" s="2169"/>
      <c r="J57" s="2169"/>
      <c r="K57" s="2169"/>
      <c r="L57" s="2169"/>
      <c r="M57" s="2169"/>
      <c r="N57" s="2169"/>
      <c r="O57" s="2169"/>
      <c r="P57" s="2169"/>
      <c r="Q57" s="2169"/>
      <c r="R57" s="2460">
        <f>SUM(R52:Y56)</f>
        <v>33240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1818</v>
      </c>
      <c r="C59" s="2465"/>
      <c r="D59" s="2465"/>
      <c r="E59" s="2465"/>
      <c r="F59" s="2465"/>
      <c r="G59" s="2465"/>
      <c r="H59" s="2465"/>
      <c r="I59" s="2466"/>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9" t="str">
        <f>IF(B52="", "", B52)</f>
        <v>LifeSTEPS</v>
      </c>
      <c r="C60" s="2450"/>
      <c r="D60" s="2450"/>
      <c r="E60" s="2450"/>
      <c r="F60" s="2450"/>
      <c r="G60" s="2450"/>
      <c r="H60" s="2450"/>
      <c r="I60" s="2451"/>
      <c r="J60" s="2452" t="s">
        <v>2761</v>
      </c>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9" t="str">
        <f>IF(B53="", "", B53)</f>
        <v/>
      </c>
      <c r="C61" s="2450"/>
      <c r="D61" s="2450"/>
      <c r="E61" s="2450"/>
      <c r="F61" s="2450"/>
      <c r="G61" s="2450"/>
      <c r="H61" s="2450"/>
      <c r="I61" s="2451"/>
      <c r="J61" s="2452" t="s">
        <v>2762</v>
      </c>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1822</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79" t="s">
        <v>1823</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9"/>
      <c r="BE68" s="1205"/>
      <c r="BM68" s="1254" t="s">
        <v>2477</v>
      </c>
    </row>
    <row r="69" spans="1:65" ht="15.75" customHeight="1" thickTop="1" thickBot="1">
      <c r="A69" s="1209"/>
      <c r="B69" s="2233" t="s">
        <v>1824</v>
      </c>
      <c r="C69" s="2234"/>
      <c r="D69" s="2234"/>
      <c r="E69" s="2234"/>
      <c r="F69" s="2234"/>
      <c r="G69" s="2234"/>
      <c r="H69" s="2234"/>
      <c r="I69" s="2234"/>
      <c r="J69" s="2234"/>
      <c r="K69" s="2234"/>
      <c r="L69" s="2234"/>
      <c r="M69" s="2234"/>
      <c r="N69" s="2234"/>
      <c r="O69" s="2235" t="s">
        <v>1825</v>
      </c>
      <c r="P69" s="2236"/>
      <c r="Q69" s="2236"/>
      <c r="R69" s="2236"/>
      <c r="S69" s="2236"/>
      <c r="T69" s="2236"/>
      <c r="U69" s="2236"/>
      <c r="V69" s="2236"/>
      <c r="W69" s="2236"/>
      <c r="X69" s="2236"/>
      <c r="Y69" s="2236"/>
      <c r="Z69" s="2236"/>
      <c r="AA69" s="2237"/>
      <c r="AB69" s="1209"/>
      <c r="AC69" s="2238" t="s">
        <v>1826</v>
      </c>
      <c r="AD69" s="2239"/>
      <c r="AE69" s="2239"/>
      <c r="AF69" s="2239"/>
      <c r="AG69" s="2239"/>
      <c r="AH69" s="2239"/>
      <c r="AI69" s="2239"/>
      <c r="AJ69" s="2239"/>
      <c r="AK69" s="2239"/>
      <c r="AL69" s="2239"/>
      <c r="AM69" s="2239"/>
      <c r="AN69" s="2239"/>
      <c r="AO69" s="2239"/>
      <c r="AP69" s="2239"/>
      <c r="AQ69" s="2239"/>
      <c r="AR69" s="2239"/>
      <c r="AS69" s="2239"/>
      <c r="AT69" s="2239"/>
      <c r="AU69" s="2239"/>
      <c r="AV69" s="2240">
        <v>44286</v>
      </c>
      <c r="AW69" s="2241"/>
      <c r="AX69" s="2241"/>
      <c r="AY69" s="2241"/>
      <c r="AZ69" s="2241"/>
      <c r="BA69" s="2241"/>
      <c r="BB69" s="2241"/>
      <c r="BC69" s="2242"/>
      <c r="BD69" s="1209"/>
      <c r="BE69" s="1205"/>
      <c r="BM69" s="1253" t="s">
        <v>554</v>
      </c>
    </row>
    <row r="70" spans="1:65" ht="15.75" customHeight="1">
      <c r="A70" s="1209"/>
      <c r="B70" s="2243" t="s">
        <v>2478</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1827</v>
      </c>
      <c r="AD70" s="2212"/>
      <c r="AE70" s="2212"/>
      <c r="AF70" s="2443" t="s">
        <v>2719</v>
      </c>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678</v>
      </c>
    </row>
    <row r="71" spans="1:65" ht="15.75" customHeight="1" thickBot="1">
      <c r="A71" s="1209"/>
      <c r="B71" s="2243" t="s">
        <v>2479</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5" t="s">
        <v>1828</v>
      </c>
      <c r="AD71" s="2446"/>
      <c r="AE71" s="2446"/>
      <c r="AF71" s="2447" t="s">
        <v>2654</v>
      </c>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2480</v>
      </c>
    </row>
    <row r="72" spans="1:65" ht="15.75" customHeight="1">
      <c r="A72" s="1209"/>
      <c r="B72" s="2243" t="s">
        <v>2481</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2482</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2483</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438" t="s">
        <v>2763</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8" t="s">
        <v>2654</v>
      </c>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2">
        <v>1</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2171</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2" t="s">
        <v>2617</v>
      </c>
      <c r="AK83" s="2183"/>
      <c r="AL83" s="2183"/>
      <c r="AM83" s="2183"/>
      <c r="AN83" s="2183"/>
      <c r="AO83" s="2183"/>
      <c r="AP83" s="2183"/>
      <c r="AQ83" s="2183"/>
      <c r="AR83" s="2183"/>
      <c r="AS83" s="2183"/>
      <c r="AT83" s="2183"/>
      <c r="AU83" s="2183"/>
      <c r="AV83" s="2183"/>
      <c r="AW83" s="2183"/>
      <c r="AX83" s="2183"/>
      <c r="AY83" s="2204" t="s">
        <v>554</v>
      </c>
      <c r="AZ83" s="2204"/>
      <c r="BA83" s="2204"/>
      <c r="BB83" s="2205"/>
      <c r="BC83" s="1209"/>
      <c r="BD83" s="1209"/>
      <c r="BE83" s="1205"/>
    </row>
    <row r="84" spans="1:70" ht="15.75" customHeight="1">
      <c r="A84" s="1209"/>
      <c r="B84" s="2174"/>
      <c r="C84" s="2175"/>
      <c r="D84" s="2175"/>
      <c r="E84" s="2175"/>
      <c r="F84" s="2175"/>
      <c r="G84" s="2175"/>
      <c r="H84" s="2175"/>
      <c r="I84" s="2175" t="s">
        <v>1829</v>
      </c>
      <c r="J84" s="2175"/>
      <c r="K84" s="2175"/>
      <c r="L84" s="2175"/>
      <c r="M84" s="2175"/>
      <c r="N84" s="2175"/>
      <c r="O84" s="2175" t="s">
        <v>1830</v>
      </c>
      <c r="P84" s="2175"/>
      <c r="Q84" s="2175"/>
      <c r="R84" s="2175"/>
      <c r="S84" s="2175"/>
      <c r="T84" s="2175"/>
      <c r="U84" s="2175"/>
      <c r="V84" s="2176" t="s">
        <v>2186</v>
      </c>
      <c r="W84" s="2176"/>
      <c r="X84" s="2176"/>
      <c r="Y84" s="2176"/>
      <c r="Z84" s="2176"/>
      <c r="AA84" s="2176"/>
      <c r="AB84" s="2177" t="s">
        <v>1831</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2172</v>
      </c>
      <c r="C86" s="2175"/>
      <c r="D86" s="2175"/>
      <c r="E86" s="2175"/>
      <c r="F86" s="2175"/>
      <c r="G86" s="2175"/>
      <c r="H86" s="2175"/>
      <c r="I86" s="2172">
        <v>2</v>
      </c>
      <c r="J86" s="2172"/>
      <c r="K86" s="2172"/>
      <c r="L86" s="2172"/>
      <c r="M86" s="2172"/>
      <c r="N86" s="2172"/>
      <c r="O86" s="2172">
        <v>2</v>
      </c>
      <c r="P86" s="2172"/>
      <c r="Q86" s="2172"/>
      <c r="R86" s="2172"/>
      <c r="S86" s="2172"/>
      <c r="T86" s="2172"/>
      <c r="U86" s="2172"/>
      <c r="V86" s="2172">
        <v>1</v>
      </c>
      <c r="W86" s="2172"/>
      <c r="X86" s="2172"/>
      <c r="Y86" s="2172"/>
      <c r="Z86" s="2172"/>
      <c r="AA86" s="2172"/>
      <c r="AB86" s="2172">
        <v>1</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2173</v>
      </c>
      <c r="C87" s="2175"/>
      <c r="D87" s="2175"/>
      <c r="E87" s="2175"/>
      <c r="F87" s="2175"/>
      <c r="G87" s="2175"/>
      <c r="H87" s="2175"/>
      <c r="I87" s="2172">
        <v>1</v>
      </c>
      <c r="J87" s="2172"/>
      <c r="K87" s="2172"/>
      <c r="L87" s="2172"/>
      <c r="M87" s="2172"/>
      <c r="N87" s="2172"/>
      <c r="O87" s="2172">
        <v>1</v>
      </c>
      <c r="P87" s="2172"/>
      <c r="Q87" s="2172"/>
      <c r="R87" s="2172"/>
      <c r="S87" s="2172"/>
      <c r="T87" s="2172"/>
      <c r="U87" s="2172"/>
      <c r="V87" s="2172">
        <v>3</v>
      </c>
      <c r="W87" s="2172"/>
      <c r="X87" s="2172"/>
      <c r="Y87" s="2172"/>
      <c r="Z87" s="2172"/>
      <c r="AA87" s="2172"/>
      <c r="AB87" s="2172">
        <v>0</v>
      </c>
      <c r="AC87" s="2172"/>
      <c r="AD87" s="2172"/>
      <c r="AE87" s="2172"/>
      <c r="AF87" s="2172"/>
      <c r="AG87" s="2172"/>
      <c r="AH87" s="2173"/>
      <c r="AI87" s="1209"/>
      <c r="AJ87" s="2186" t="s">
        <v>2484</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1832</v>
      </c>
      <c r="C88" s="2169"/>
      <c r="D88" s="2169"/>
      <c r="E88" s="2169"/>
      <c r="F88" s="2169"/>
      <c r="G88" s="2169"/>
      <c r="H88" s="2169"/>
      <c r="I88" s="2170">
        <v>545</v>
      </c>
      <c r="J88" s="2170"/>
      <c r="K88" s="2170"/>
      <c r="L88" s="2170"/>
      <c r="M88" s="2170"/>
      <c r="N88" s="2170"/>
      <c r="O88" s="2170">
        <v>531</v>
      </c>
      <c r="P88" s="2170"/>
      <c r="Q88" s="2170"/>
      <c r="R88" s="2170"/>
      <c r="S88" s="2170"/>
      <c r="T88" s="2170"/>
      <c r="U88" s="2170"/>
      <c r="V88" s="2170">
        <v>452</v>
      </c>
      <c r="W88" s="2170"/>
      <c r="X88" s="2170"/>
      <c r="Y88" s="2170"/>
      <c r="Z88" s="2170"/>
      <c r="AA88" s="2170"/>
      <c r="AB88" s="2170">
        <v>132</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2" t="s">
        <v>2550</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2614</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2" t="s">
        <v>2613</v>
      </c>
      <c r="AK96" s="2183"/>
      <c r="AL96" s="2183"/>
      <c r="AM96" s="2183"/>
      <c r="AN96" s="2183"/>
      <c r="AO96" s="2183"/>
      <c r="AP96" s="2183"/>
      <c r="AQ96" s="2183"/>
      <c r="AR96" s="2183"/>
      <c r="AS96" s="2183"/>
      <c r="AT96" s="2183"/>
      <c r="AU96" s="2183"/>
      <c r="AV96" s="2183"/>
      <c r="AW96" s="2183"/>
      <c r="AX96" s="2183"/>
      <c r="AY96" s="2204" t="s">
        <v>554</v>
      </c>
      <c r="AZ96" s="2204"/>
      <c r="BA96" s="2204"/>
      <c r="BB96" s="2205"/>
      <c r="BC96" s="1209"/>
      <c r="BD96" s="1209"/>
      <c r="BE96" s="1205"/>
      <c r="BQ96" s="1248" t="str">
        <f>Application!M243</f>
        <v>Ravello MODs Palmdale Blvd 150, LLC</v>
      </c>
      <c r="BR96" s="1248">
        <f>Application!AH245</f>
        <v>0</v>
      </c>
    </row>
    <row r="97" spans="1:70" ht="15.75" customHeight="1">
      <c r="A97" s="1209"/>
      <c r="B97" s="2174"/>
      <c r="C97" s="2175"/>
      <c r="D97" s="2175"/>
      <c r="E97" s="2175"/>
      <c r="F97" s="2175"/>
      <c r="G97" s="2175"/>
      <c r="H97" s="2175"/>
      <c r="I97" s="2175" t="s">
        <v>1829</v>
      </c>
      <c r="J97" s="2175"/>
      <c r="K97" s="2175"/>
      <c r="L97" s="2175"/>
      <c r="M97" s="2175"/>
      <c r="N97" s="2175"/>
      <c r="O97" s="2175" t="s">
        <v>1830</v>
      </c>
      <c r="P97" s="2175"/>
      <c r="Q97" s="2175"/>
      <c r="R97" s="2175"/>
      <c r="S97" s="2175"/>
      <c r="T97" s="2175"/>
      <c r="U97" s="2175"/>
      <c r="V97" s="2176" t="s">
        <v>2186</v>
      </c>
      <c r="W97" s="2176"/>
      <c r="X97" s="2176"/>
      <c r="Y97" s="2176"/>
      <c r="Z97" s="2176"/>
      <c r="AA97" s="2176"/>
      <c r="AB97" s="2177" t="s">
        <v>1831</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t="str">
        <f>Application!M251</f>
        <v>AHA High Desert MGP, LLC</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2172</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2173</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2484</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1832</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8" t="s">
        <v>2656</v>
      </c>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2610</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1829</v>
      </c>
      <c r="J108" s="2175"/>
      <c r="K108" s="2175"/>
      <c r="L108" s="2175"/>
      <c r="M108" s="2175"/>
      <c r="N108" s="2175"/>
      <c r="O108" s="2175" t="s">
        <v>1830</v>
      </c>
      <c r="P108" s="2175"/>
      <c r="Q108" s="2175"/>
      <c r="R108" s="2175"/>
      <c r="S108" s="2175"/>
      <c r="T108" s="2175"/>
      <c r="U108" s="2175"/>
      <c r="V108" s="2176" t="s">
        <v>2186</v>
      </c>
      <c r="W108" s="2176"/>
      <c r="X108" s="2176"/>
      <c r="Y108" s="2176"/>
      <c r="Z108" s="2176"/>
      <c r="AA108" s="2176"/>
      <c r="AB108" s="2177" t="s">
        <v>1831</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2172</v>
      </c>
      <c r="C110" s="2175"/>
      <c r="D110" s="2175"/>
      <c r="E110" s="2175"/>
      <c r="F110" s="2175"/>
      <c r="G110" s="2175"/>
      <c r="H110" s="2175"/>
      <c r="I110" s="2172">
        <v>26</v>
      </c>
      <c r="J110" s="2172"/>
      <c r="K110" s="2172"/>
      <c r="L110" s="2172"/>
      <c r="M110" s="2172"/>
      <c r="N110" s="2172"/>
      <c r="O110" s="2172">
        <v>4</v>
      </c>
      <c r="P110" s="2172"/>
      <c r="Q110" s="2172"/>
      <c r="R110" s="2172"/>
      <c r="S110" s="2172"/>
      <c r="T110" s="2172"/>
      <c r="U110" s="2172"/>
      <c r="V110" s="2172">
        <v>50</v>
      </c>
      <c r="W110" s="2172"/>
      <c r="X110" s="2172"/>
      <c r="Y110" s="2172"/>
      <c r="Z110" s="2172"/>
      <c r="AA110" s="2172"/>
      <c r="AB110" s="2172">
        <v>1</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2173</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1832</v>
      </c>
      <c r="C112" s="2169"/>
      <c r="D112" s="2169"/>
      <c r="E112" s="2169"/>
      <c r="F112" s="2169"/>
      <c r="G112" s="2169"/>
      <c r="H112" s="2169"/>
      <c r="I112" s="2170">
        <v>2555</v>
      </c>
      <c r="J112" s="2170"/>
      <c r="K112" s="2170"/>
      <c r="L112" s="2170"/>
      <c r="M112" s="2170"/>
      <c r="N112" s="2170"/>
      <c r="O112" s="2170">
        <v>366</v>
      </c>
      <c r="P112" s="2170"/>
      <c r="Q112" s="2170"/>
      <c r="R112" s="2170"/>
      <c r="S112" s="2170"/>
      <c r="T112" s="2170"/>
      <c r="U112" s="2170"/>
      <c r="V112" s="2170">
        <v>6580</v>
      </c>
      <c r="W112" s="2170"/>
      <c r="X112" s="2170"/>
      <c r="Y112" s="2170"/>
      <c r="Z112" s="2170"/>
      <c r="AA112" s="2170"/>
      <c r="AB112" s="2170">
        <v>65</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2485</v>
      </c>
      <c r="C117" s="2183"/>
      <c r="D117" s="2183"/>
      <c r="E117" s="2183"/>
      <c r="F117" s="2183"/>
      <c r="G117" s="2183"/>
      <c r="H117" s="2183"/>
      <c r="I117" s="2183"/>
      <c r="J117" s="2183"/>
      <c r="K117" s="2183"/>
      <c r="L117" s="2183"/>
      <c r="M117" s="2183"/>
      <c r="N117" s="2183"/>
      <c r="O117" s="2183"/>
      <c r="P117" s="2183"/>
      <c r="Q117" s="2204" t="s">
        <v>554</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2187</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2174</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1"/>
      <c r="BE125" s="1205"/>
    </row>
    <row r="126" spans="1:57" ht="15.75" customHeight="1">
      <c r="A126" s="1209"/>
      <c r="B126" s="2433" t="s">
        <v>1689</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2"/>
      <c r="BE126" s="1205"/>
    </row>
    <row r="127" spans="1:57" ht="15.75" customHeight="1">
      <c r="A127" s="1209"/>
      <c r="B127" s="2395"/>
      <c r="C127" s="2396"/>
      <c r="D127" s="2396"/>
      <c r="E127" s="2396"/>
      <c r="F127" s="2396"/>
      <c r="G127" s="2396"/>
      <c r="H127" s="2396"/>
      <c r="I127" s="2175" t="s">
        <v>2175</v>
      </c>
      <c r="J127" s="2175"/>
      <c r="K127" s="2175"/>
      <c r="L127" s="2175"/>
      <c r="M127" s="2175"/>
      <c r="N127" s="2175"/>
      <c r="O127" s="2436" t="s">
        <v>2176</v>
      </c>
      <c r="P127" s="2436"/>
      <c r="Q127" s="2436"/>
      <c r="R127" s="2436"/>
      <c r="S127" s="2436"/>
      <c r="T127" s="2436"/>
      <c r="U127" s="2437"/>
      <c r="V127" s="1209"/>
      <c r="W127" s="1209"/>
      <c r="X127" s="2438" t="s">
        <v>2764</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2177</v>
      </c>
      <c r="C128" s="2413"/>
      <c r="D128" s="2413"/>
      <c r="E128" s="2413"/>
      <c r="F128" s="2413"/>
      <c r="G128" s="2413"/>
      <c r="H128" s="2413"/>
      <c r="I128" s="2172">
        <v>110</v>
      </c>
      <c r="J128" s="2172"/>
      <c r="K128" s="2172"/>
      <c r="L128" s="2172"/>
      <c r="M128" s="2172"/>
      <c r="N128" s="2172"/>
      <c r="O128" s="2172">
        <v>5</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2178</v>
      </c>
      <c r="C129" s="2415"/>
      <c r="D129" s="2415"/>
      <c r="E129" s="2415"/>
      <c r="F129" s="2415"/>
      <c r="G129" s="2415"/>
      <c r="H129" s="2415"/>
      <c r="I129" s="2170">
        <v>143</v>
      </c>
      <c r="J129" s="2170"/>
      <c r="K129" s="2170"/>
      <c r="L129" s="2170"/>
      <c r="M129" s="2170"/>
      <c r="N129" s="2170"/>
      <c r="O129" s="2439"/>
      <c r="P129" s="2439"/>
      <c r="Q129" s="2439"/>
      <c r="R129" s="2439"/>
      <c r="S129" s="2439"/>
      <c r="T129" s="2439"/>
      <c r="U129" s="2440"/>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8" t="s">
        <v>1835</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1830</v>
      </c>
      <c r="J134" s="2410"/>
      <c r="K134" s="2410"/>
      <c r="L134" s="2410"/>
      <c r="M134" s="2410"/>
      <c r="N134" s="2410"/>
      <c r="O134" s="2410"/>
      <c r="P134" s="2410" t="s">
        <v>2186</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2177</v>
      </c>
      <c r="C136" s="2413"/>
      <c r="D136" s="2413"/>
      <c r="E136" s="2413"/>
      <c r="F136" s="2413"/>
      <c r="G136" s="2413"/>
      <c r="H136" s="2413"/>
      <c r="I136" s="2172">
        <v>2</v>
      </c>
      <c r="J136" s="2172"/>
      <c r="K136" s="2172"/>
      <c r="L136" s="2172"/>
      <c r="M136" s="2172"/>
      <c r="N136" s="2172"/>
      <c r="O136" s="2172"/>
      <c r="P136" s="2172">
        <v>1</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2178</v>
      </c>
      <c r="C137" s="2415"/>
      <c r="D137" s="2415"/>
      <c r="E137" s="2415"/>
      <c r="F137" s="2415"/>
      <c r="G137" s="2415"/>
      <c r="H137" s="2415"/>
      <c r="I137" s="2170">
        <v>1</v>
      </c>
      <c r="J137" s="2170"/>
      <c r="K137" s="2170"/>
      <c r="L137" s="2170"/>
      <c r="M137" s="2170"/>
      <c r="N137" s="2170"/>
      <c r="O137" s="2170"/>
      <c r="P137" s="2170">
        <v>2</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1836</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1837</v>
      </c>
      <c r="C140" s="2418"/>
      <c r="D140" s="2418"/>
      <c r="E140" s="2418"/>
      <c r="F140" s="2418"/>
      <c r="G140" s="2418"/>
      <c r="H140" s="2418"/>
      <c r="I140" s="2418"/>
      <c r="J140" s="2418"/>
      <c r="K140" s="2418"/>
      <c r="L140" s="2418"/>
      <c r="M140" s="2418"/>
      <c r="N140" s="2418"/>
      <c r="O140" s="2418"/>
      <c r="P140" s="2418"/>
      <c r="Q140" s="2418"/>
      <c r="R140" s="2419" t="s">
        <v>2188</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2765</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4"/>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4"/>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4"/>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4"/>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4"/>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4"/>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4"/>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4"/>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1839</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2190</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1830</v>
      </c>
      <c r="J155" s="2410"/>
      <c r="K155" s="2410"/>
      <c r="L155" s="2410"/>
      <c r="M155" s="2410"/>
      <c r="N155" s="2410"/>
      <c r="O155" s="2410"/>
      <c r="P155" s="2410" t="s">
        <v>2191</v>
      </c>
      <c r="Q155" s="2410"/>
      <c r="R155" s="2410"/>
      <c r="S155" s="2410"/>
      <c r="T155" s="2410"/>
      <c r="U155" s="2411"/>
      <c r="V155" s="1209"/>
      <c r="W155" s="1209"/>
      <c r="X155" s="2395"/>
      <c r="Y155" s="2396"/>
      <c r="Z155" s="2396"/>
      <c r="AA155" s="2396"/>
      <c r="AB155" s="2396"/>
      <c r="AC155" s="2396"/>
      <c r="AD155" s="2396"/>
      <c r="AE155" s="2410" t="s">
        <v>1830</v>
      </c>
      <c r="AF155" s="2410"/>
      <c r="AG155" s="2410"/>
      <c r="AH155" s="2410"/>
      <c r="AI155" s="2410"/>
      <c r="AJ155" s="2410"/>
      <c r="AK155" s="2410"/>
      <c r="AL155" s="2410" t="s">
        <v>2186</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2177</v>
      </c>
      <c r="C157" s="2413"/>
      <c r="D157" s="2413"/>
      <c r="E157" s="2413"/>
      <c r="F157" s="2413"/>
      <c r="G157" s="2413"/>
      <c r="H157" s="2413"/>
      <c r="I157" s="2172">
        <v>3</v>
      </c>
      <c r="J157" s="2172"/>
      <c r="K157" s="2172"/>
      <c r="L157" s="2172"/>
      <c r="M157" s="2172"/>
      <c r="N157" s="2172"/>
      <c r="O157" s="2172"/>
      <c r="P157" s="2172">
        <v>1</v>
      </c>
      <c r="Q157" s="2172"/>
      <c r="R157" s="2172"/>
      <c r="S157" s="2172"/>
      <c r="T157" s="2172"/>
      <c r="U157" s="2173"/>
      <c r="V157" s="1209"/>
      <c r="W157" s="1209"/>
      <c r="X157" s="2414" t="s">
        <v>2177</v>
      </c>
      <c r="Y157" s="2415"/>
      <c r="Z157" s="2415"/>
      <c r="AA157" s="2415"/>
      <c r="AB157" s="2415"/>
      <c r="AC157" s="2415"/>
      <c r="AD157" s="2415"/>
      <c r="AE157" s="2170" t="s">
        <v>2766</v>
      </c>
      <c r="AF157" s="2170"/>
      <c r="AG157" s="2170"/>
      <c r="AH157" s="2170"/>
      <c r="AI157" s="2170"/>
      <c r="AJ157" s="2170"/>
      <c r="AK157" s="2170"/>
      <c r="AL157" s="2170">
        <v>35</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2178</v>
      </c>
      <c r="C158" s="2415"/>
      <c r="D158" s="2415"/>
      <c r="E158" s="2415"/>
      <c r="F158" s="2415"/>
      <c r="G158" s="2415"/>
      <c r="H158" s="2415"/>
      <c r="I158" s="2170">
        <v>30</v>
      </c>
      <c r="J158" s="2170"/>
      <c r="K158" s="2170"/>
      <c r="L158" s="2170"/>
      <c r="M158" s="2170"/>
      <c r="N158" s="2170"/>
      <c r="O158" s="2170"/>
      <c r="P158" s="2170">
        <v>11</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2179</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1840</v>
      </c>
      <c r="D161" s="2396"/>
      <c r="E161" s="2396"/>
      <c r="F161" s="2396"/>
      <c r="G161" s="2396"/>
      <c r="H161" s="2396"/>
      <c r="I161" s="2396"/>
      <c r="J161" s="2396"/>
      <c r="K161" s="2396"/>
      <c r="L161" s="2396"/>
      <c r="M161" s="2396"/>
      <c r="N161" s="2396"/>
      <c r="O161" s="2396"/>
      <c r="P161" s="2396"/>
      <c r="Q161" s="2396" t="s">
        <v>1841</v>
      </c>
      <c r="R161" s="2396"/>
      <c r="S161" s="2396"/>
      <c r="T161" s="2177" t="s">
        <v>2180</v>
      </c>
      <c r="U161" s="2177"/>
      <c r="V161" s="2177"/>
      <c r="W161" s="2177"/>
      <c r="X161" s="2177"/>
      <c r="Y161" s="2177"/>
      <c r="Z161" s="2177"/>
      <c r="AA161" s="2177"/>
      <c r="AB161" s="2396" t="s">
        <v>1842</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1843</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1844</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1845</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1816</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1846</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1846</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1846</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1847</v>
      </c>
      <c r="D170" s="2180"/>
      <c r="E170" s="2180"/>
      <c r="F170" s="2180"/>
      <c r="G170" s="2180"/>
      <c r="H170" s="2180"/>
      <c r="I170" s="2180"/>
      <c r="J170" s="2180"/>
      <c r="K170" s="2180"/>
      <c r="L170" s="2180"/>
      <c r="M170" s="2180"/>
      <c r="N170" s="2181"/>
      <c r="O170" s="1209"/>
      <c r="P170" s="2392" t="s">
        <v>1848</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1849</v>
      </c>
      <c r="D171" s="2396"/>
      <c r="E171" s="2396"/>
      <c r="F171" s="2396"/>
      <c r="G171" s="2396"/>
      <c r="H171" s="2396"/>
      <c r="I171" s="2396" t="s">
        <v>1850</v>
      </c>
      <c r="J171" s="2396"/>
      <c r="K171" s="2396"/>
      <c r="L171" s="2396"/>
      <c r="M171" s="2396"/>
      <c r="N171" s="2397"/>
      <c r="O171" s="1209"/>
      <c r="P171" s="2398" t="s">
        <v>2769</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t="s">
        <v>2767</v>
      </c>
      <c r="D172" s="2348"/>
      <c r="E172" s="2348"/>
      <c r="F172" s="2348"/>
      <c r="G172" s="2348"/>
      <c r="H172" s="2348"/>
      <c r="I172" s="2368">
        <v>45338</v>
      </c>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t="s">
        <v>2768</v>
      </c>
      <c r="D173" s="2348"/>
      <c r="E173" s="2348"/>
      <c r="F173" s="2348"/>
      <c r="G173" s="2348"/>
      <c r="H173" s="2348"/>
      <c r="I173" s="2368">
        <v>45338</v>
      </c>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2486</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3" t="s">
        <v>2603</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6" t="s">
        <v>2624</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79" t="s">
        <v>1840</v>
      </c>
      <c r="D182" s="2180"/>
      <c r="E182" s="2180"/>
      <c r="F182" s="2180"/>
      <c r="G182" s="2180"/>
      <c r="H182" s="2180"/>
      <c r="I182" s="2180"/>
      <c r="J182" s="2180"/>
      <c r="K182" s="2180"/>
      <c r="L182" s="2180"/>
      <c r="M182" s="2180"/>
      <c r="N182" s="2180" t="s">
        <v>1851</v>
      </c>
      <c r="O182" s="2180"/>
      <c r="P182" s="2180"/>
      <c r="Q182" s="2180"/>
      <c r="R182" s="2180"/>
      <c r="S182" s="2180"/>
      <c r="T182" s="2180"/>
      <c r="U182" s="2212" t="s">
        <v>1840</v>
      </c>
      <c r="V182" s="2212"/>
      <c r="W182" s="2212"/>
      <c r="X182" s="2212"/>
      <c r="Y182" s="2212"/>
      <c r="Z182" s="2212"/>
      <c r="AA182" s="2212"/>
      <c r="AB182" s="2212"/>
      <c r="AC182" s="2212"/>
      <c r="AD182" s="2212"/>
      <c r="AE182" s="2213"/>
      <c r="AF182" s="1209"/>
      <c r="AG182" s="1209"/>
      <c r="AH182" s="2367" t="s">
        <v>2608</v>
      </c>
      <c r="AI182" s="2367"/>
      <c r="AJ182" s="2367"/>
      <c r="AK182" s="2367"/>
      <c r="AL182" s="2367"/>
      <c r="AM182" s="2367"/>
      <c r="AN182" s="2367"/>
      <c r="AO182" s="2367"/>
      <c r="AP182" s="2367"/>
      <c r="AQ182" s="2367"/>
      <c r="AR182" s="2367"/>
      <c r="AS182" s="2367"/>
      <c r="AT182" s="2367"/>
      <c r="AU182" s="2594">
        <v>2500000</v>
      </c>
      <c r="AV182" s="2594"/>
      <c r="AW182" s="2594"/>
      <c r="AX182" s="2594"/>
      <c r="AY182" s="2594"/>
      <c r="AZ182" s="2594"/>
      <c r="BA182" s="2594"/>
      <c r="BB182" s="2594"/>
      <c r="BC182" s="2598"/>
      <c r="BD182" s="2599"/>
      <c r="BE182" s="2600"/>
    </row>
    <row r="183" spans="1:57" ht="15.75" customHeight="1">
      <c r="A183" s="1209"/>
      <c r="B183" s="1209"/>
      <c r="C183" s="2356" t="s">
        <v>2487</v>
      </c>
      <c r="D183" s="2357"/>
      <c r="E183" s="2357"/>
      <c r="F183" s="2357"/>
      <c r="G183" s="2357"/>
      <c r="H183" s="2357"/>
      <c r="I183" s="2357"/>
      <c r="J183" s="2357"/>
      <c r="K183" s="2357"/>
      <c r="L183" s="2357"/>
      <c r="M183" s="2357"/>
      <c r="N183" s="2370">
        <f>'Sources and Uses Budget'!B105</f>
        <v>70484091</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2607</v>
      </c>
      <c r="AI183" s="2367"/>
      <c r="AJ183" s="2367"/>
      <c r="AK183" s="2367"/>
      <c r="AL183" s="2367"/>
      <c r="AM183" s="2367"/>
      <c r="AN183" s="2367"/>
      <c r="AO183" s="2367"/>
      <c r="AP183" s="2367"/>
      <c r="AQ183" s="2367"/>
      <c r="AR183" s="2367"/>
      <c r="AS183" s="2367"/>
      <c r="AT183" s="2367"/>
      <c r="AU183" s="2595">
        <f>MAX(0,Application!AG439-100)*20000</f>
        <v>1780000</v>
      </c>
      <c r="AV183" s="2595"/>
      <c r="AW183" s="2595"/>
      <c r="AX183" s="2595"/>
      <c r="AY183" s="2595"/>
      <c r="AZ183" s="2595"/>
      <c r="BA183" s="2595"/>
      <c r="BB183" s="2595"/>
      <c r="BC183" s="2326"/>
      <c r="BD183" s="2327"/>
      <c r="BE183" s="2328"/>
    </row>
    <row r="184" spans="1:57" ht="15.75" customHeight="1">
      <c r="A184" s="1209"/>
      <c r="B184" s="1209"/>
      <c r="C184" s="2356" t="s">
        <v>2488</v>
      </c>
      <c r="D184" s="2357"/>
      <c r="E184" s="2357"/>
      <c r="F184" s="2357"/>
      <c r="G184" s="2357"/>
      <c r="H184" s="2357"/>
      <c r="I184" s="2357"/>
      <c r="J184" s="2357"/>
      <c r="K184" s="2357"/>
      <c r="L184" s="2357"/>
      <c r="M184" s="2357"/>
      <c r="N184" s="2370">
        <f>N183/J29</f>
        <v>372931.6984126984</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7" t="s">
        <v>2606</v>
      </c>
      <c r="AI184" s="2587"/>
      <c r="AJ184" s="2587"/>
      <c r="AK184" s="2587"/>
      <c r="AL184" s="2587"/>
      <c r="AM184" s="2587"/>
      <c r="AN184" s="2587"/>
      <c r="AO184" s="2587"/>
      <c r="AP184" s="2587"/>
      <c r="AQ184" s="2587"/>
      <c r="AR184" s="2587"/>
      <c r="AS184" s="2587"/>
      <c r="AT184" s="2587"/>
      <c r="AU184" s="2325">
        <f>AU182+AU183</f>
        <v>4280000</v>
      </c>
      <c r="AV184" s="2325"/>
      <c r="AW184" s="2325"/>
      <c r="AX184" s="2325"/>
      <c r="AY184" s="2325"/>
      <c r="AZ184" s="2325"/>
      <c r="BA184" s="2325"/>
      <c r="BB184" s="2325"/>
      <c r="BC184" s="2326"/>
      <c r="BD184" s="2327"/>
      <c r="BE184" s="2328"/>
    </row>
    <row r="185" spans="1:57" ht="15.75" customHeight="1">
      <c r="A185" s="1209"/>
      <c r="B185" s="1209"/>
      <c r="C185" s="2373" t="s">
        <v>2489</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7" t="s">
        <v>2605</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6"/>
      <c r="BD185" s="2327"/>
      <c r="BE185" s="2328"/>
    </row>
    <row r="186" spans="1:57" ht="15.75" customHeight="1" thickBot="1">
      <c r="A186" s="1209"/>
      <c r="B186" s="1209"/>
      <c r="C186" s="2356" t="s">
        <v>2490</v>
      </c>
      <c r="D186" s="2357"/>
      <c r="E186" s="2357"/>
      <c r="F186" s="2357"/>
      <c r="G186" s="2357"/>
      <c r="H186" s="2357"/>
      <c r="I186" s="2357"/>
      <c r="J186" s="2357"/>
      <c r="K186" s="2357"/>
      <c r="L186" s="2357"/>
      <c r="M186" s="2357"/>
      <c r="N186" s="2358">
        <f>SUM('Sources and Uses Budget'!B85:B86)</f>
        <v>5000500</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2491</v>
      </c>
      <c r="D187" s="2357"/>
      <c r="E187" s="2357"/>
      <c r="F187" s="2357"/>
      <c r="G187" s="2357"/>
      <c r="H187" s="2357"/>
      <c r="I187" s="2357"/>
      <c r="J187" s="2357"/>
      <c r="K187" s="2357"/>
      <c r="L187" s="2357"/>
      <c r="M187" s="2357"/>
      <c r="N187" s="2358">
        <f>'Sources and Uses Budget'!B8</f>
        <v>3490000</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1852</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2492</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1852</v>
      </c>
      <c r="AI188" s="2362"/>
      <c r="AJ188" s="2362"/>
      <c r="AK188" s="2362"/>
      <c r="AL188" s="2362"/>
      <c r="AM188" s="2362"/>
      <c r="AN188" s="2362"/>
      <c r="AO188" s="2362"/>
      <c r="AP188" s="2362"/>
      <c r="AQ188" s="2362"/>
      <c r="AR188" s="2362"/>
      <c r="AS188" s="2362"/>
      <c r="AT188" s="2362"/>
      <c r="AU188" s="2363">
        <f>'Sources and Uses Budget'!H108</f>
        <v>5199688</v>
      </c>
      <c r="AV188" s="2363"/>
      <c r="AW188" s="2363"/>
      <c r="AX188" s="2363"/>
      <c r="AY188" s="2363"/>
      <c r="AZ188" s="2363"/>
      <c r="BA188" s="2363"/>
      <c r="BB188" s="2363"/>
      <c r="BC188" s="2364"/>
      <c r="BD188" s="2365"/>
      <c r="BE188" s="2366"/>
    </row>
    <row r="189" spans="1:57" ht="15.75" customHeight="1">
      <c r="A189" s="1209"/>
      <c r="B189" s="1209"/>
      <c r="C189" s="2356" t="s">
        <v>2493</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2604</v>
      </c>
      <c r="AI189" s="2367"/>
      <c r="AJ189" s="2367"/>
      <c r="AK189" s="2367"/>
      <c r="AL189" s="2367"/>
      <c r="AM189" s="2367"/>
      <c r="AN189" s="2367"/>
      <c r="AO189" s="2367"/>
      <c r="AP189" s="2367"/>
      <c r="AQ189" s="2367"/>
      <c r="AR189" s="2367"/>
      <c r="AS189" s="2367"/>
      <c r="AT189" s="2367"/>
      <c r="AU189" s="2355">
        <f>'Sources and Uses Budget'!E99</f>
        <v>1300312</v>
      </c>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1846</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7" t="s">
        <v>2603</v>
      </c>
      <c r="AI190" s="2587"/>
      <c r="AJ190" s="2587"/>
      <c r="AK190" s="2587"/>
      <c r="AL190" s="2587"/>
      <c r="AM190" s="2587"/>
      <c r="AN190" s="2587"/>
      <c r="AO190" s="2587"/>
      <c r="AP190" s="2587"/>
      <c r="AQ190" s="2587"/>
      <c r="AR190" s="2587"/>
      <c r="AS190" s="2587"/>
      <c r="AT190" s="2587"/>
      <c r="AU190" s="2325">
        <f>SUM(AU188:BB189)</f>
        <v>6500000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1846</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1846</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1853</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1854</v>
      </c>
      <c r="D193" s="2333"/>
      <c r="E193" s="2333"/>
      <c r="F193" s="2333"/>
      <c r="G193" s="2333"/>
      <c r="H193" s="2333"/>
      <c r="I193" s="2333"/>
      <c r="J193" s="2333"/>
      <c r="K193" s="2333"/>
      <c r="L193" s="2333"/>
      <c r="M193" s="2333"/>
      <c r="N193" s="2334">
        <f>SUM(N185:T192)</f>
        <v>8490500</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2602</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2494</v>
      </c>
      <c r="D194" s="2313"/>
      <c r="E194" s="2313"/>
      <c r="F194" s="2313"/>
      <c r="G194" s="2313"/>
      <c r="H194" s="2313"/>
      <c r="I194" s="2313"/>
      <c r="J194" s="2313"/>
      <c r="K194" s="2313"/>
      <c r="L194" s="2313"/>
      <c r="M194" s="2313"/>
      <c r="N194" s="2314">
        <f>(N183-N193)/J29</f>
        <v>328008.41798941797</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2601</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2600</v>
      </c>
      <c r="D198" s="2590"/>
      <c r="E198" s="2590"/>
      <c r="F198" s="2590"/>
      <c r="G198" s="2590"/>
      <c r="H198" s="2590"/>
      <c r="I198" s="2590"/>
      <c r="J198" s="2590"/>
      <c r="K198" s="2590"/>
      <c r="L198" s="2590"/>
      <c r="M198" s="2590"/>
      <c r="N198" s="2590"/>
      <c r="O198" s="2591" t="s">
        <v>2599</v>
      </c>
      <c r="P198" s="2591"/>
      <c r="Q198" s="2591"/>
      <c r="R198" s="2591"/>
      <c r="S198" s="2591"/>
      <c r="T198" s="2591"/>
      <c r="U198" s="2591"/>
      <c r="V198" s="2591"/>
      <c r="W198" s="2591"/>
      <c r="X198" s="2591" t="s">
        <v>2598</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2597</v>
      </c>
      <c r="D199" s="2588"/>
      <c r="E199" s="2588"/>
      <c r="F199" s="2588"/>
      <c r="G199" s="2588"/>
      <c r="H199" s="2588"/>
      <c r="I199" s="2588"/>
      <c r="J199" s="2588"/>
      <c r="K199" s="2588"/>
      <c r="L199" s="2588"/>
      <c r="M199" s="2588"/>
      <c r="N199" s="2588"/>
      <c r="O199" s="2318" t="s">
        <v>2596</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866</v>
      </c>
      <c r="D200" s="2588"/>
      <c r="E200" s="2588"/>
      <c r="F200" s="2588"/>
      <c r="G200" s="2588"/>
      <c r="H200" s="2588"/>
      <c r="I200" s="2588"/>
      <c r="J200" s="2588"/>
      <c r="K200" s="2588"/>
      <c r="L200" s="2588"/>
      <c r="M200" s="2588"/>
      <c r="N200" s="2588"/>
      <c r="O200" s="2318" t="s">
        <v>2596</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2595</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2594</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2593</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2592</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2591</v>
      </c>
      <c r="D205" s="2258"/>
      <c r="E205" s="2258"/>
      <c r="F205" s="2301"/>
      <c r="G205" s="2257" t="s">
        <v>2590</v>
      </c>
      <c r="H205" s="2258"/>
      <c r="I205" s="2258"/>
      <c r="J205" s="2258"/>
      <c r="K205" s="2258"/>
      <c r="L205" s="2258"/>
      <c r="M205" s="2258"/>
      <c r="N205" s="2258"/>
      <c r="O205" s="2301"/>
      <c r="P205" s="2304" t="s">
        <v>2589</v>
      </c>
      <c r="Q205" s="2305"/>
      <c r="R205" s="2305"/>
      <c r="S205" s="2305"/>
      <c r="T205" s="2306"/>
      <c r="U205" s="2251" t="s">
        <v>2588</v>
      </c>
      <c r="V205" s="2252"/>
      <c r="W205" s="2252"/>
      <c r="X205" s="2253"/>
      <c r="Y205" s="2251" t="s">
        <v>2587</v>
      </c>
      <c r="Z205" s="2252"/>
      <c r="AA205" s="2252"/>
      <c r="AB205" s="2253"/>
      <c r="AC205" s="2251" t="s">
        <v>2586</v>
      </c>
      <c r="AD205" s="2252"/>
      <c r="AE205" s="2252"/>
      <c r="AF205" s="2253"/>
      <c r="AG205" s="2257" t="s">
        <v>2585</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2770</v>
      </c>
      <c r="H207" s="2265"/>
      <c r="I207" s="2265"/>
      <c r="J207" s="2265"/>
      <c r="K207" s="2265"/>
      <c r="L207" s="2265"/>
      <c r="M207" s="2265"/>
      <c r="N207" s="2265"/>
      <c r="O207" s="2265"/>
      <c r="P207" s="2266">
        <v>45689</v>
      </c>
      <c r="Q207" s="2267"/>
      <c r="R207" s="2267"/>
      <c r="S207" s="2267"/>
      <c r="T207" s="2267"/>
      <c r="U207" s="2268">
        <v>5275000</v>
      </c>
      <c r="V207" s="2268"/>
      <c r="W207" s="2268"/>
      <c r="X207" s="2268"/>
      <c r="Y207" s="2268">
        <v>300000</v>
      </c>
      <c r="Z207" s="2268"/>
      <c r="AA207" s="2268"/>
      <c r="AB207" s="2268"/>
      <c r="AC207" s="2269">
        <f>Y207/AU190</f>
        <v>4.6153846153846156E-2</v>
      </c>
      <c r="AD207" s="2269"/>
      <c r="AE207" s="2269"/>
      <c r="AF207" s="2269"/>
      <c r="AG207" s="2248" t="s">
        <v>2774</v>
      </c>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2771</v>
      </c>
      <c r="H208" s="2265"/>
      <c r="I208" s="2265"/>
      <c r="J208" s="2265"/>
      <c r="K208" s="2265"/>
      <c r="L208" s="2265"/>
      <c r="M208" s="2265"/>
      <c r="N208" s="2265"/>
      <c r="O208" s="2265"/>
      <c r="P208" s="2266">
        <v>46266</v>
      </c>
      <c r="Q208" s="2266"/>
      <c r="R208" s="2266"/>
      <c r="S208" s="2266"/>
      <c r="T208" s="2266"/>
      <c r="U208" s="2268">
        <v>7600500</v>
      </c>
      <c r="V208" s="2268"/>
      <c r="W208" s="2268"/>
      <c r="X208" s="2268"/>
      <c r="Y208" s="2268" t="s">
        <v>2155</v>
      </c>
      <c r="Z208" s="2268"/>
      <c r="AA208" s="2268"/>
      <c r="AB208" s="2268"/>
      <c r="AC208" s="2269" t="s">
        <v>2155</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2772</v>
      </c>
      <c r="H209" s="2265"/>
      <c r="I209" s="2265"/>
      <c r="J209" s="2265"/>
      <c r="K209" s="2265"/>
      <c r="L209" s="2265"/>
      <c r="M209" s="2265"/>
      <c r="N209" s="2265"/>
      <c r="O209" s="2265"/>
      <c r="P209" s="2266">
        <v>46600</v>
      </c>
      <c r="Q209" s="2266"/>
      <c r="R209" s="2266"/>
      <c r="S209" s="2266"/>
      <c r="T209" s="2266"/>
      <c r="U209" s="2268">
        <f>28150000-U208</f>
        <v>20549500</v>
      </c>
      <c r="V209" s="2268"/>
      <c r="W209" s="2268"/>
      <c r="X209" s="2268"/>
      <c r="Y209" s="2268">
        <f>AU189-Y207</f>
        <v>1000312</v>
      </c>
      <c r="Z209" s="2268"/>
      <c r="AA209" s="2268"/>
      <c r="AB209" s="2268"/>
      <c r="AC209" s="2269">
        <f>Y209/AU190</f>
        <v>0.15389415384615385</v>
      </c>
      <c r="AD209" s="2269"/>
      <c r="AE209" s="2269"/>
      <c r="AF209" s="2269"/>
      <c r="AG209" s="2248" t="s">
        <v>2774</v>
      </c>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2773</v>
      </c>
      <c r="H210" s="2265"/>
      <c r="I210" s="2265"/>
      <c r="J210" s="2265"/>
      <c r="K210" s="2265"/>
      <c r="L210" s="2265"/>
      <c r="M210" s="2265"/>
      <c r="N210" s="2265"/>
      <c r="O210" s="2265"/>
      <c r="P210" s="2266">
        <v>46692</v>
      </c>
      <c r="Q210" s="2266"/>
      <c r="R210" s="2266"/>
      <c r="S210" s="2266"/>
      <c r="T210" s="2266"/>
      <c r="U210" s="2268">
        <v>1759500</v>
      </c>
      <c r="V210" s="2268"/>
      <c r="W210" s="2268"/>
      <c r="X210" s="2268"/>
      <c r="Y210" s="2268" t="s">
        <v>2155</v>
      </c>
      <c r="Z210" s="2268"/>
      <c r="AA210" s="2268"/>
      <c r="AB210" s="2268"/>
      <c r="AC210" s="2269" t="s">
        <v>2155</v>
      </c>
      <c r="AD210" s="2269"/>
      <c r="AE210" s="2269"/>
      <c r="AF210" s="2269"/>
      <c r="AG210" s="2248" t="s">
        <v>2774</v>
      </c>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2155</v>
      </c>
      <c r="V211" s="2268"/>
      <c r="W211" s="2268"/>
      <c r="X211" s="2268"/>
      <c r="Y211" s="2268" t="s">
        <v>2155</v>
      </c>
      <c r="Z211" s="2268"/>
      <c r="AA211" s="2268"/>
      <c r="AB211" s="2268"/>
      <c r="AC211" s="2269" t="s">
        <v>2155</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2155</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2155</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601"/>
      <c r="H213" s="2602"/>
      <c r="I213" s="2602"/>
      <c r="J213" s="2602"/>
      <c r="K213" s="2602"/>
      <c r="L213" s="2602"/>
      <c r="M213" s="2602"/>
      <c r="N213" s="2602"/>
      <c r="O213" s="2603"/>
      <c r="P213" s="2266"/>
      <c r="Q213" s="2266"/>
      <c r="R213" s="2266"/>
      <c r="S213" s="2266"/>
      <c r="T213" s="2266"/>
      <c r="U213" s="2268"/>
      <c r="V213" s="2268"/>
      <c r="W213" s="2268"/>
      <c r="X213" s="2268"/>
      <c r="Y213" s="2268"/>
      <c r="Z213" s="2268"/>
      <c r="AA213" s="2268"/>
      <c r="AB213" s="2268"/>
      <c r="AC213" s="2269" t="s">
        <v>2155</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2584</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1855</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1856</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1857</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1858</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1860</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2495</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1861</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1862</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1863</v>
      </c>
      <c r="I239" s="2270"/>
      <c r="J239" s="2270"/>
      <c r="K239" s="1213"/>
      <c r="L239" s="1211"/>
      <c r="M239" s="1211"/>
      <c r="N239" s="1211"/>
      <c r="O239" s="1211"/>
      <c r="P239" s="1211"/>
      <c r="Q239" s="1211"/>
      <c r="R239" s="1211"/>
      <c r="S239" s="2288" t="s">
        <v>2775</v>
      </c>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444</v>
      </c>
      <c r="I241" s="2270"/>
      <c r="J241" s="1213"/>
      <c r="K241" s="1213"/>
      <c r="L241" s="1211"/>
      <c r="M241" s="1211"/>
      <c r="N241" s="1211"/>
      <c r="O241" s="1211"/>
      <c r="P241" s="1211"/>
      <c r="Q241" s="1211"/>
      <c r="R241" s="1211"/>
      <c r="S241" s="2288" t="s">
        <v>2776</v>
      </c>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1864</v>
      </c>
      <c r="I243" s="2271"/>
      <c r="J243" s="2271"/>
      <c r="K243" s="2271"/>
      <c r="L243" s="2271"/>
      <c r="M243" s="2271"/>
      <c r="N243" s="2271"/>
      <c r="O243" s="2271"/>
      <c r="P243" s="1211"/>
      <c r="Q243" s="1211"/>
      <c r="R243" s="1211"/>
      <c r="S243" s="2288" t="s">
        <v>2654</v>
      </c>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1865</v>
      </c>
      <c r="I245" s="2272"/>
      <c r="J245" s="1211"/>
      <c r="K245" s="1211"/>
      <c r="L245" s="1211"/>
      <c r="M245" s="1211"/>
      <c r="N245" s="1211"/>
      <c r="O245" s="1211"/>
      <c r="P245" s="1211"/>
      <c r="Q245" s="1211"/>
      <c r="R245" s="1211"/>
      <c r="S245" s="2285">
        <v>45334</v>
      </c>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1" workbookViewId="0">
      <selection activeCell="B21" sqref="B21:S2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0" t="s">
        <v>1391</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62262668</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506</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507</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508</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509</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815</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510</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746" t="s">
        <v>980</v>
      </c>
      <c r="D18" s="1746"/>
      <c r="E18" s="1746"/>
      <c r="F18" s="1746"/>
      <c r="G18" s="1746"/>
      <c r="H18" s="1746"/>
      <c r="I18" s="1746"/>
      <c r="J18" s="1746"/>
      <c r="K18" s="1746"/>
      <c r="L18" s="1746"/>
      <c r="M18" s="1746"/>
      <c r="N18" s="1746"/>
      <c r="O18" s="1746"/>
      <c r="P18" s="1746"/>
      <c r="Q18" s="1746"/>
      <c r="R18" s="1746"/>
      <c r="S18" s="1747"/>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746" t="s">
        <v>980</v>
      </c>
      <c r="D19" s="1746"/>
      <c r="E19" s="1746"/>
      <c r="F19" s="1746"/>
      <c r="G19" s="1746"/>
      <c r="H19" s="1746"/>
      <c r="I19" s="1746"/>
      <c r="J19" s="1746"/>
      <c r="K19" s="1746"/>
      <c r="L19" s="1746"/>
      <c r="M19" s="1746"/>
      <c r="N19" s="1746"/>
      <c r="O19" s="1746"/>
      <c r="P19" s="1746"/>
      <c r="Q19" s="1746"/>
      <c r="R19" s="1746"/>
      <c r="S19" s="1747"/>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511</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1374</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512</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513</v>
      </c>
      <c r="C23" s="2622"/>
      <c r="D23" s="2622"/>
      <c r="E23" s="2622"/>
      <c r="F23" s="2622"/>
      <c r="G23" s="2622"/>
      <c r="H23" s="2622"/>
      <c r="I23" s="2622"/>
      <c r="J23" s="2622"/>
      <c r="K23" s="2622"/>
      <c r="L23" s="2622"/>
      <c r="M23" s="2622"/>
      <c r="N23" s="2622"/>
      <c r="O23" s="2622"/>
      <c r="P23" s="2622"/>
      <c r="Q23" s="2622"/>
      <c r="R23" s="2622"/>
      <c r="S23" s="2623"/>
      <c r="T23" s="2614">
        <f>T11+T22</f>
        <v>62262668</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981</v>
      </c>
      <c r="C24" s="2622"/>
      <c r="D24" s="2622"/>
      <c r="E24" s="2622"/>
      <c r="F24" s="2622"/>
      <c r="G24" s="2622"/>
      <c r="H24" s="2622"/>
      <c r="I24" s="2622"/>
      <c r="J24" s="2622"/>
      <c r="K24" s="2622"/>
      <c r="L24" s="2622"/>
      <c r="M24" s="2622"/>
      <c r="N24" s="2622"/>
      <c r="O24" s="2622"/>
      <c r="P24" s="2622"/>
      <c r="Q24" s="2622"/>
      <c r="R24" s="2622"/>
      <c r="S24" s="2623"/>
      <c r="T24" s="2616">
        <f>Application!AJ1052</f>
        <v>174555180.16</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1375</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514</v>
      </c>
      <c r="C26" s="2622"/>
      <c r="D26" s="2622"/>
      <c r="E26" s="2622"/>
      <c r="F26" s="2622"/>
      <c r="G26" s="2622"/>
      <c r="H26" s="2622"/>
      <c r="I26" s="2622"/>
      <c r="J26" s="2622"/>
      <c r="K26" s="2622"/>
      <c r="L26" s="2622"/>
      <c r="M26" s="2622"/>
      <c r="N26" s="2622"/>
      <c r="O26" s="2622"/>
      <c r="P26" s="2622"/>
      <c r="Q26" s="2622"/>
      <c r="R26" s="2622"/>
      <c r="S26" s="2623"/>
      <c r="T26" s="2614">
        <f>T23*T25</f>
        <v>80941468.400000006</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14">
        <f>IF(ISERROR((T26*T27)),0,(T26*T27))</f>
        <v>80941468.400000006</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532</v>
      </c>
      <c r="C29" s="2622"/>
      <c r="D29" s="2622"/>
      <c r="E29" s="2622"/>
      <c r="F29" s="2622"/>
      <c r="G29" s="2622"/>
      <c r="H29" s="2622"/>
      <c r="I29" s="2622"/>
      <c r="J29" s="2622"/>
      <c r="K29" s="2622"/>
      <c r="L29" s="2622"/>
      <c r="M29" s="2622"/>
      <c r="N29" s="2622"/>
      <c r="O29" s="2622"/>
      <c r="P29" s="2622"/>
      <c r="Q29" s="2622"/>
      <c r="R29" s="2622"/>
      <c r="S29" s="2623"/>
      <c r="T29" s="2616">
        <f>T28+Y28+AD28+AI28</f>
        <v>80941468.400000006</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1377</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1376</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65" t="s">
        <v>370</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80941468.400000006</v>
      </c>
      <c r="Z38" s="2615"/>
      <c r="AA38" s="2615"/>
      <c r="AB38" s="2615"/>
      <c r="AC38" s="2615"/>
      <c r="AD38" s="2615">
        <f>IF(T24&gt;=(T23+Y23+AD23+AI23),AD28+AI28,0)</f>
        <v>0</v>
      </c>
      <c r="AE38" s="2615"/>
      <c r="AF38" s="2615"/>
      <c r="AG38" s="2615"/>
      <c r="AH38" s="2615"/>
    </row>
    <row r="39" spans="1:76" ht="12.95" customHeight="1">
      <c r="B39" s="2621" t="s">
        <v>1882</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3237659</v>
      </c>
      <c r="Z40" s="2615"/>
      <c r="AA40" s="2615"/>
      <c r="AB40" s="2615"/>
      <c r="AC40" s="2615"/>
      <c r="AD40" s="2614">
        <f>ROUND(AD38*AD39,0)</f>
        <v>0</v>
      </c>
      <c r="AE40" s="2615"/>
      <c r="AF40" s="2615"/>
      <c r="AG40" s="2615"/>
      <c r="AH40" s="2615"/>
    </row>
    <row r="41" spans="1:76" ht="12.9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3237659</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1387</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70484091</v>
      </c>
      <c r="AC47" s="2632"/>
      <c r="AD47" s="2632"/>
      <c r="AE47" s="2632"/>
      <c r="AF47" s="2633"/>
    </row>
    <row r="48" spans="1:76" ht="12.95" customHeight="1">
      <c r="D48" s="435" t="s">
        <v>21</v>
      </c>
      <c r="AB48" s="2631">
        <f>Application!AO639-MAX(IF('Sources and Uses Budget'!B15="",0,'Sources and Uses Budget'!B15),IF(Application!AG394="",0,Application!AG394))</f>
        <v>35784188</v>
      </c>
      <c r="AC48" s="2632"/>
      <c r="AD48" s="2632"/>
      <c r="AE48" s="2632"/>
      <c r="AF48" s="2633"/>
    </row>
    <row r="49" spans="1:76" ht="12.95" customHeight="1">
      <c r="D49" s="435" t="s">
        <v>91</v>
      </c>
      <c r="AB49" s="2631">
        <f>AB47-AB48</f>
        <v>34699903</v>
      </c>
      <c r="AC49" s="2632"/>
      <c r="AD49" s="2632"/>
      <c r="AE49" s="2632"/>
      <c r="AF49" s="2633"/>
    </row>
    <row r="50" spans="1:76" ht="12.95" customHeight="1">
      <c r="D50" s="435" t="s">
        <v>690</v>
      </c>
      <c r="AA50" s="446"/>
      <c r="AB50" s="2658">
        <v>0.85</v>
      </c>
      <c r="AC50" s="2659"/>
      <c r="AD50" s="2659"/>
      <c r="AE50" s="2659"/>
      <c r="AF50" s="2660"/>
    </row>
    <row r="51" spans="1:76" s="448" customFormat="1" ht="12.95" customHeight="1">
      <c r="A51" s="433"/>
      <c r="B51" s="433"/>
      <c r="C51" s="433"/>
      <c r="D51" s="433"/>
      <c r="E51" s="2661" t="s">
        <v>2042</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40823415</v>
      </c>
      <c r="AC54" s="2632"/>
      <c r="AD54" s="2632"/>
      <c r="AE54" s="2632"/>
      <c r="AF54" s="2633"/>
    </row>
    <row r="55" spans="1:76" ht="12.95" customHeight="1">
      <c r="D55" s="435" t="s">
        <v>334</v>
      </c>
      <c r="AB55" s="2631">
        <f>(AB54/10)</f>
        <v>4082341.5</v>
      </c>
      <c r="AC55" s="2632"/>
      <c r="AD55" s="2632"/>
      <c r="AE55" s="2632"/>
      <c r="AF55" s="2633"/>
    </row>
    <row r="56" spans="1:76" ht="12.95" customHeight="1">
      <c r="D56" s="435" t="s">
        <v>766</v>
      </c>
      <c r="AB56" s="2662">
        <f>(IF((Y41&lt;AB55),Y41,AB55))</f>
        <v>3237659</v>
      </c>
      <c r="AC56" s="2663"/>
      <c r="AD56" s="2663"/>
      <c r="AE56" s="2663"/>
      <c r="AF56" s="2664"/>
    </row>
    <row r="57" spans="1:76" ht="12.95" customHeight="1">
      <c r="D57" s="435" t="s">
        <v>765</v>
      </c>
      <c r="AB57" s="2631">
        <f>ROUND((10*AB56*AB50),0)</f>
        <v>27520102</v>
      </c>
      <c r="AC57" s="2632"/>
      <c r="AD57" s="2632"/>
      <c r="AE57" s="2632"/>
      <c r="AF57" s="2633"/>
    </row>
    <row r="58" spans="1:76" ht="12.95" customHeight="1">
      <c r="D58" s="435"/>
      <c r="AB58" s="454"/>
      <c r="AC58" s="454"/>
      <c r="AD58" s="454"/>
      <c r="AE58" s="454"/>
      <c r="AF58" s="454"/>
    </row>
    <row r="59" spans="1:76" ht="12.95" customHeight="1">
      <c r="D59" s="435" t="s">
        <v>764</v>
      </c>
      <c r="AB59" s="2654">
        <f>AB49-AB57</f>
        <v>7179801</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598</v>
      </c>
      <c r="C63" s="219" t="s">
        <v>1358</v>
      </c>
      <c r="Y63" s="2655" t="s">
        <v>1004</v>
      </c>
      <c r="Z63" s="2655"/>
      <c r="AA63" s="2655"/>
      <c r="AB63" s="2655"/>
      <c r="AC63" s="2655"/>
      <c r="AD63" s="2655" t="s">
        <v>370</v>
      </c>
      <c r="AE63" s="2655"/>
      <c r="AF63" s="2655"/>
      <c r="AG63" s="2655"/>
      <c r="AH63" s="2655"/>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62262668</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1360</v>
      </c>
      <c r="Y68" s="2615">
        <f>ROUND(Y64*Y67,0)</f>
        <v>18678800</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8">
        <v>0.75</v>
      </c>
      <c r="AC71" s="2659"/>
      <c r="AD71" s="2659"/>
      <c r="AE71" s="2659"/>
      <c r="AF71" s="2660"/>
    </row>
    <row r="72" spans="1:36" ht="12.95" customHeight="1">
      <c r="A72" s="435"/>
      <c r="C72" s="435"/>
      <c r="D72" s="435"/>
      <c r="E72" s="2674" t="s">
        <v>1362</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7">
        <f>ROUND(IF(ISERROR((AB59/AB71)),0,(AB59/AB71)),0)</f>
        <v>9573068</v>
      </c>
      <c r="AC76" s="2667"/>
      <c r="AD76" s="2667"/>
      <c r="AE76" s="2667"/>
      <c r="AF76" s="2667"/>
    </row>
    <row r="77" spans="1:36" ht="12.95" customHeight="1">
      <c r="C77" s="435"/>
      <c r="D77" s="219" t="s">
        <v>1364</v>
      </c>
      <c r="AB77" s="2668">
        <f>IF((Y68+AD68&lt;AB76),Y68+AD68,AB76)</f>
        <v>9573068</v>
      </c>
      <c r="AC77" s="2669"/>
      <c r="AD77" s="2669"/>
      <c r="AE77" s="2669"/>
      <c r="AF77" s="2670"/>
    </row>
    <row r="78" spans="1:36" ht="12.95" customHeight="1">
      <c r="C78" s="435"/>
      <c r="D78" s="219" t="s">
        <v>1365</v>
      </c>
      <c r="AB78" s="2671">
        <f>AB77*AB71</f>
        <v>7179801</v>
      </c>
      <c r="AC78" s="2671"/>
      <c r="AD78" s="2671"/>
      <c r="AE78" s="2671"/>
      <c r="AF78" s="2671"/>
    </row>
    <row r="79" spans="1:36" ht="12.95" customHeight="1">
      <c r="C79" s="435"/>
      <c r="D79" s="435"/>
      <c r="AB79" s="456"/>
      <c r="AC79" s="456"/>
      <c r="AD79" s="456"/>
      <c r="AE79" s="456"/>
      <c r="AF79" s="456"/>
    </row>
    <row r="80" spans="1:36" ht="12.95" customHeight="1">
      <c r="D80" s="435" t="s">
        <v>764</v>
      </c>
      <c r="AB80" s="2654">
        <f>AB49-(AB57+AB78)</f>
        <v>0</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Normal="100"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926</v>
      </c>
      <c r="B3" s="457" t="s">
        <v>927</v>
      </c>
      <c r="C3" s="457" t="s">
        <v>2255</v>
      </c>
      <c r="D3" s="1190" t="s">
        <v>928</v>
      </c>
      <c r="E3" s="218"/>
      <c r="F3" s="1190" t="s">
        <v>929</v>
      </c>
      <c r="G3" s="457" t="s">
        <v>930</v>
      </c>
      <c r="H3" s="458"/>
      <c r="I3" s="457" t="s">
        <v>931</v>
      </c>
      <c r="J3" s="457" t="s">
        <v>932</v>
      </c>
      <c r="K3" s="218"/>
      <c r="L3" s="328"/>
    </row>
    <row r="4" spans="1:12">
      <c r="A4" s="459" t="str">
        <f>Application!B718</f>
        <v>1 Bedroom</v>
      </c>
      <c r="B4" s="1121">
        <f>Application!G718</f>
        <v>7</v>
      </c>
      <c r="C4" s="1122"/>
      <c r="D4" s="459">
        <f>Application!O718</f>
        <v>524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9</v>
      </c>
      <c r="C5" s="1122"/>
      <c r="D5" s="459">
        <f>Application!O719</f>
        <v>997</v>
      </c>
      <c r="E5" s="460"/>
      <c r="F5" s="1123"/>
      <c r="G5" s="459">
        <f t="shared" ref="G5:G38" si="2">F5*B5</f>
        <v>0</v>
      </c>
      <c r="H5" s="460"/>
      <c r="I5" s="459" t="str">
        <f t="shared" si="0"/>
        <v/>
      </c>
      <c r="J5" s="459" t="str">
        <f t="shared" si="1"/>
        <v/>
      </c>
      <c r="K5" s="218"/>
      <c r="L5" s="328"/>
    </row>
    <row r="6" spans="1:12">
      <c r="A6" s="459" t="str">
        <f>Application!B720</f>
        <v>1 Bedroom</v>
      </c>
      <c r="B6" s="1121">
        <f>Application!G720</f>
        <v>18</v>
      </c>
      <c r="C6" s="1122"/>
      <c r="D6" s="459">
        <f>Application!O720</f>
        <v>1233</v>
      </c>
      <c r="E6" s="460"/>
      <c r="F6" s="1123"/>
      <c r="G6" s="459">
        <f t="shared" si="2"/>
        <v>0</v>
      </c>
      <c r="H6" s="460"/>
      <c r="I6" s="459" t="str">
        <f t="shared" si="0"/>
        <v/>
      </c>
      <c r="J6" s="459" t="str">
        <f t="shared" si="1"/>
        <v/>
      </c>
      <c r="K6" s="218"/>
      <c r="L6" s="328"/>
    </row>
    <row r="7" spans="1:12">
      <c r="A7" s="459" t="str">
        <f>Application!B721</f>
        <v>1 Bedroom</v>
      </c>
      <c r="B7" s="1121">
        <f>Application!G721</f>
        <v>30</v>
      </c>
      <c r="C7" s="1122"/>
      <c r="D7" s="459">
        <f>Application!O721</f>
        <v>1470</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627</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1194</v>
      </c>
      <c r="E9" s="460"/>
      <c r="F9" s="1123"/>
      <c r="G9" s="459">
        <f t="shared" si="2"/>
        <v>0</v>
      </c>
      <c r="H9" s="460"/>
      <c r="I9" s="459" t="str">
        <f t="shared" si="0"/>
        <v/>
      </c>
      <c r="J9" s="459" t="str">
        <f t="shared" si="1"/>
        <v/>
      </c>
      <c r="K9" s="218"/>
      <c r="L9" s="328"/>
    </row>
    <row r="10" spans="1:12">
      <c r="A10" s="459" t="str">
        <f>Application!B724</f>
        <v>2 Bedrooms</v>
      </c>
      <c r="B10" s="1121">
        <f>Application!G724</f>
        <v>13</v>
      </c>
      <c r="C10" s="1122"/>
      <c r="D10" s="459">
        <f>Application!O724</f>
        <v>1478</v>
      </c>
      <c r="E10" s="460"/>
      <c r="F10" s="1123"/>
      <c r="G10" s="459">
        <f t="shared" si="2"/>
        <v>0</v>
      </c>
      <c r="H10" s="460"/>
      <c r="I10" s="459" t="str">
        <f t="shared" si="0"/>
        <v/>
      </c>
      <c r="J10" s="459" t="str">
        <f t="shared" si="1"/>
        <v/>
      </c>
      <c r="K10" s="218"/>
      <c r="L10" s="328"/>
    </row>
    <row r="11" spans="1:12">
      <c r="A11" s="459" t="str">
        <f>Application!B725</f>
        <v>2 Bedrooms</v>
      </c>
      <c r="B11" s="1121">
        <f>Application!G725</f>
        <v>21</v>
      </c>
      <c r="C11" s="1122"/>
      <c r="D11" s="459">
        <f>Application!O725</f>
        <v>1762</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707</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c r="D13" s="459">
        <f>Application!O727</f>
        <v>1363</v>
      </c>
      <c r="E13" s="460"/>
      <c r="F13" s="1123"/>
      <c r="G13" s="459">
        <f t="shared" si="2"/>
        <v>0</v>
      </c>
      <c r="H13" s="460"/>
      <c r="I13" s="459" t="str">
        <f t="shared" si="0"/>
        <v/>
      </c>
      <c r="J13" s="459" t="str">
        <f t="shared" si="1"/>
        <v/>
      </c>
      <c r="K13" s="218"/>
      <c r="L13" s="328"/>
    </row>
    <row r="14" spans="1:12">
      <c r="A14" s="459" t="str">
        <f>Application!B728</f>
        <v>3 Bedrooms</v>
      </c>
      <c r="B14" s="1121">
        <f>Application!G728</f>
        <v>4</v>
      </c>
      <c r="C14" s="1122"/>
      <c r="D14" s="459">
        <f>Application!O728</f>
        <v>1691</v>
      </c>
      <c r="E14" s="460"/>
      <c r="F14" s="1123"/>
      <c r="G14" s="459">
        <f t="shared" si="2"/>
        <v>0</v>
      </c>
      <c r="H14" s="460"/>
      <c r="I14" s="459" t="str">
        <f t="shared" si="0"/>
        <v/>
      </c>
      <c r="J14" s="459" t="str">
        <f t="shared" si="1"/>
        <v/>
      </c>
      <c r="K14" s="218"/>
      <c r="L14" s="328"/>
    </row>
    <row r="15" spans="1:12">
      <c r="A15" s="459" t="str">
        <f>Application!B729</f>
        <v>3 Bedrooms</v>
      </c>
      <c r="B15" s="1121">
        <f>Application!G729</f>
        <v>7</v>
      </c>
      <c r="C15" s="1122"/>
      <c r="D15" s="459">
        <f>Application!O729</f>
        <v>2019</v>
      </c>
      <c r="E15" s="460"/>
      <c r="F15" s="1123"/>
      <c r="G15" s="459">
        <f t="shared" si="2"/>
        <v>0</v>
      </c>
      <c r="H15" s="460"/>
      <c r="I15" s="459" t="str">
        <f t="shared" si="0"/>
        <v/>
      </c>
      <c r="J15" s="459" t="str">
        <f t="shared" si="1"/>
        <v/>
      </c>
      <c r="K15" s="218"/>
      <c r="L15" s="328"/>
    </row>
    <row r="16" spans="1:12">
      <c r="A16" s="459" t="str">
        <f>Application!B730</f>
        <v>3 Bedrooms</v>
      </c>
      <c r="B16" s="1121">
        <f>Application!G730</f>
        <v>5</v>
      </c>
      <c r="C16" s="1122"/>
      <c r="D16" s="459">
        <f>Application!O730</f>
        <v>707</v>
      </c>
      <c r="E16" s="460"/>
      <c r="F16" s="1123"/>
      <c r="G16" s="459">
        <f t="shared" si="2"/>
        <v>0</v>
      </c>
      <c r="H16" s="460"/>
      <c r="I16" s="459" t="str">
        <f t="shared" si="0"/>
        <v/>
      </c>
      <c r="J16" s="459" t="str">
        <f t="shared" si="1"/>
        <v/>
      </c>
      <c r="K16" s="218"/>
      <c r="L16" s="328"/>
    </row>
    <row r="17" spans="1:12">
      <c r="A17" s="459" t="str">
        <f>Application!B731</f>
        <v>3 Bedrooms</v>
      </c>
      <c r="B17" s="1121">
        <f>Application!G731</f>
        <v>6</v>
      </c>
      <c r="C17" s="1122"/>
      <c r="D17" s="459">
        <f>Application!O731</f>
        <v>1363</v>
      </c>
      <c r="E17" s="460"/>
      <c r="F17" s="1123"/>
      <c r="G17" s="459">
        <f t="shared" si="2"/>
        <v>0</v>
      </c>
      <c r="H17" s="460"/>
      <c r="I17" s="459" t="str">
        <f t="shared" si="0"/>
        <v/>
      </c>
      <c r="J17" s="459" t="str">
        <f t="shared" si="1"/>
        <v/>
      </c>
      <c r="K17" s="218"/>
      <c r="L17" s="328"/>
    </row>
    <row r="18" spans="1:12">
      <c r="A18" s="459" t="str">
        <f>Application!B732</f>
        <v>3 Bedrooms</v>
      </c>
      <c r="B18" s="1121">
        <f>Application!G732</f>
        <v>11</v>
      </c>
      <c r="C18" s="1122"/>
      <c r="D18" s="459">
        <f>Application!O732</f>
        <v>1691</v>
      </c>
      <c r="E18" s="460"/>
      <c r="F18" s="1123"/>
      <c r="G18" s="459">
        <f t="shared" si="2"/>
        <v>0</v>
      </c>
      <c r="H18" s="460"/>
      <c r="I18" s="459" t="str">
        <f t="shared" si="0"/>
        <v/>
      </c>
      <c r="J18" s="459" t="str">
        <f t="shared" si="1"/>
        <v/>
      </c>
      <c r="K18" s="218"/>
      <c r="L18" s="328"/>
    </row>
    <row r="19" spans="1:12">
      <c r="A19" s="459" t="str">
        <f>Application!B733</f>
        <v>3 Bedrooms</v>
      </c>
      <c r="B19" s="1121">
        <f>Application!G733</f>
        <v>20</v>
      </c>
      <c r="C19" s="1122"/>
      <c r="D19" s="459">
        <f>Application!O733</f>
        <v>2019</v>
      </c>
      <c r="E19" s="460"/>
      <c r="F19" s="1123"/>
      <c r="G19" s="459">
        <f t="shared" si="2"/>
        <v>0</v>
      </c>
      <c r="H19" s="460"/>
      <c r="I19" s="459" t="str">
        <f t="shared" si="0"/>
        <v/>
      </c>
      <c r="J19" s="459" t="str">
        <f t="shared" si="1"/>
        <v/>
      </c>
      <c r="K19" s="218"/>
      <c r="L19" s="328"/>
    </row>
    <row r="20" spans="1:12">
      <c r="A20" s="459" t="str">
        <f>Application!B734</f>
        <v>4 Bedrooms</v>
      </c>
      <c r="B20" s="1121">
        <f>Application!G734</f>
        <v>3</v>
      </c>
      <c r="C20" s="1122"/>
      <c r="D20" s="459">
        <f>Application!O734</f>
        <v>758</v>
      </c>
      <c r="E20" s="460"/>
      <c r="F20" s="1123"/>
      <c r="G20" s="459">
        <f t="shared" si="2"/>
        <v>0</v>
      </c>
      <c r="H20" s="460"/>
      <c r="I20" s="459" t="str">
        <f t="shared" si="0"/>
        <v/>
      </c>
      <c r="J20" s="459" t="str">
        <f t="shared" si="1"/>
        <v/>
      </c>
      <c r="K20" s="218"/>
      <c r="L20" s="328"/>
    </row>
    <row r="21" spans="1:12">
      <c r="A21" s="459" t="str">
        <f>Application!B735</f>
        <v>4 Bedrooms</v>
      </c>
      <c r="B21" s="1121">
        <f>Application!G735</f>
        <v>3</v>
      </c>
      <c r="C21" s="1122"/>
      <c r="D21" s="459">
        <f>Application!O735</f>
        <v>1489</v>
      </c>
      <c r="E21" s="460"/>
      <c r="F21" s="1123"/>
      <c r="G21" s="459">
        <f t="shared" si="2"/>
        <v>0</v>
      </c>
      <c r="H21" s="460"/>
      <c r="I21" s="459" t="str">
        <f t="shared" si="0"/>
        <v/>
      </c>
      <c r="J21" s="459" t="str">
        <f t="shared" si="1"/>
        <v/>
      </c>
      <c r="K21" s="218"/>
      <c r="L21" s="328"/>
    </row>
    <row r="22" spans="1:12">
      <c r="A22" s="459" t="str">
        <f>Application!B736</f>
        <v>4 Bedrooms</v>
      </c>
      <c r="B22" s="1121">
        <f>Application!G736</f>
        <v>6</v>
      </c>
      <c r="C22" s="1122"/>
      <c r="D22" s="459">
        <f>Application!O736</f>
        <v>1855</v>
      </c>
      <c r="E22" s="460"/>
      <c r="F22" s="1123"/>
      <c r="G22" s="459">
        <f t="shared" si="2"/>
        <v>0</v>
      </c>
      <c r="H22" s="460"/>
      <c r="I22" s="459" t="str">
        <f t="shared" si="0"/>
        <v/>
      </c>
      <c r="J22" s="459" t="str">
        <f t="shared" si="1"/>
        <v/>
      </c>
      <c r="K22" s="218"/>
      <c r="L22" s="328"/>
    </row>
    <row r="23" spans="1:12">
      <c r="A23" s="459" t="str">
        <f>Application!B737</f>
        <v>4 Bedrooms</v>
      </c>
      <c r="B23" s="1121">
        <f>Application!G737</f>
        <v>10</v>
      </c>
      <c r="C23" s="1122"/>
      <c r="D23" s="459">
        <f>Application!O737</f>
        <v>2221</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282456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L217"/>
  <sheetViews>
    <sheetView zoomScale="85" zoomScaleNormal="85" workbookViewId="0">
      <selection activeCell="O16" sqref="O1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12.7109375" customWidth="1"/>
    <col min="36" max="36" width="2.7109375" customWidth="1"/>
    <col min="37" max="37" width="12.7109375" customWidth="1"/>
    <col min="38" max="38" width="2.7109375" customWidth="1"/>
    <col min="39" max="39" width="12.7109375" customWidth="1"/>
    <col min="40" max="40" width="2.7109375" customWidth="1"/>
    <col min="41" max="41" width="12.7109375" customWidth="1"/>
    <col min="42" max="42" width="2.7109375" customWidth="1"/>
    <col min="43" max="43" width="12.7109375" customWidth="1"/>
    <col min="44" max="44" width="2.7109375" customWidth="1"/>
    <col min="45" max="45" width="12.7109375" customWidth="1"/>
    <col min="46" max="46" width="2.7109375" customWidth="1"/>
    <col min="47" max="47" width="12.7109375" customWidth="1"/>
    <col min="48" max="48" width="2.7109375" customWidth="1"/>
    <col min="49" max="49" width="12.7109375" customWidth="1"/>
    <col min="50" max="50" width="2.7109375" customWidth="1"/>
    <col min="51" max="51" width="12.7109375" customWidth="1"/>
    <col min="52" max="52" width="2.7109375" customWidth="1"/>
    <col min="53" max="53" width="12.7109375" customWidth="1"/>
    <col min="54" max="54" width="2.7109375" customWidth="1"/>
    <col min="55" max="55" width="12.7109375" customWidth="1"/>
    <col min="56" max="56" width="2.7109375" customWidth="1"/>
    <col min="57" max="57" width="12.7109375" customWidth="1"/>
    <col min="58" max="58" width="2.7109375" customWidth="1"/>
    <col min="59" max="59" width="12.7109375" customWidth="1"/>
    <col min="60" max="60" width="2.7109375" customWidth="1"/>
    <col min="61" max="61" width="12.7109375" customWidth="1"/>
    <col min="62" max="62" width="2.7109375" customWidth="1"/>
    <col min="63" max="63" width="12.7109375" customWidth="1"/>
    <col min="64" max="64" width="2.7109375" customWidth="1"/>
    <col min="65" max="16384" width="8.85546875" hidden="1"/>
  </cols>
  <sheetData>
    <row r="1" spans="1:64" ht="18">
      <c r="A1" s="226" t="s">
        <v>2407</v>
      </c>
      <c r="B1" s="226"/>
    </row>
    <row r="2" spans="1:64"/>
    <row r="3" spans="1:6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c r="AI3" s="252" t="s">
        <v>2784</v>
      </c>
      <c r="AJ3" s="13"/>
      <c r="AK3" s="252" t="s">
        <v>2785</v>
      </c>
      <c r="AL3" s="13"/>
      <c r="AM3" s="252" t="s">
        <v>2786</v>
      </c>
      <c r="AN3" s="13"/>
      <c r="AO3" s="252" t="s">
        <v>2787</v>
      </c>
      <c r="AP3" s="13"/>
      <c r="AQ3" s="252" t="s">
        <v>2788</v>
      </c>
      <c r="AR3" s="13"/>
      <c r="AS3" s="252" t="s">
        <v>2789</v>
      </c>
      <c r="AT3" s="13"/>
      <c r="AU3" s="252" t="s">
        <v>2790</v>
      </c>
      <c r="AV3" s="13"/>
      <c r="AW3" s="252" t="s">
        <v>2791</v>
      </c>
      <c r="AX3" s="13"/>
      <c r="AY3" s="252" t="s">
        <v>2792</v>
      </c>
      <c r="AZ3" s="13"/>
      <c r="BA3" s="252" t="s">
        <v>2793</v>
      </c>
      <c r="BB3" s="13"/>
      <c r="BC3" s="252" t="s">
        <v>2794</v>
      </c>
      <c r="BD3" s="13"/>
      <c r="BE3" s="252" t="s">
        <v>2795</v>
      </c>
      <c r="BF3" s="13"/>
      <c r="BG3" s="252" t="s">
        <v>2796</v>
      </c>
      <c r="BH3" s="13"/>
      <c r="BI3" s="252" t="s">
        <v>2797</v>
      </c>
      <c r="BJ3" s="13"/>
      <c r="BK3" s="252" t="s">
        <v>2798</v>
      </c>
      <c r="BL3" s="13"/>
    </row>
    <row r="4" spans="1:64" s="235" customFormat="1" ht="14.25">
      <c r="A4" s="235" t="s">
        <v>849</v>
      </c>
      <c r="C4" s="253">
        <v>1.0249999999999999</v>
      </c>
      <c r="E4" s="235">
        <f>Application!Y801</f>
        <v>3413760</v>
      </c>
      <c r="G4" s="235">
        <f>E4*$C$4</f>
        <v>3499103.9999999995</v>
      </c>
      <c r="I4" s="235">
        <f>G4*$C$4</f>
        <v>3586581.5999999992</v>
      </c>
      <c r="K4" s="235">
        <f>I4*$C$4</f>
        <v>3676246.1399999987</v>
      </c>
      <c r="M4" s="235">
        <f>K4*$C$4</f>
        <v>3768152.2934999983</v>
      </c>
      <c r="O4" s="235">
        <f>M4*$C$4</f>
        <v>3862356.100837498</v>
      </c>
      <c r="Q4" s="235">
        <f>O4*$C$4</f>
        <v>3958915.0033584349</v>
      </c>
      <c r="S4" s="235">
        <f>Q4*$C$4</f>
        <v>4057887.8784423955</v>
      </c>
      <c r="U4" s="235">
        <f>S4*$C$4</f>
        <v>4159335.0754034552</v>
      </c>
      <c r="W4" s="235">
        <f>U4*$C$4</f>
        <v>4263318.452288541</v>
      </c>
      <c r="Y4" s="235">
        <f>W4*$C$4</f>
        <v>4369901.4135957537</v>
      </c>
      <c r="AA4" s="235">
        <f>Y4*$C$4</f>
        <v>4479148.9489356475</v>
      </c>
      <c r="AC4" s="235">
        <f>AA4*$C$4</f>
        <v>4591127.6726590386</v>
      </c>
      <c r="AE4" s="235">
        <f>AC4*$C$4</f>
        <v>4705905.8644755138</v>
      </c>
      <c r="AG4" s="235">
        <f>AE4*$C$4</f>
        <v>4823553.5110874008</v>
      </c>
      <c r="AI4" s="235">
        <f t="shared" ref="AI4" si="0">AG4*$C$4</f>
        <v>4944142.3488645852</v>
      </c>
      <c r="AK4" s="235">
        <f t="shared" ref="AK4" si="1">AI4*$C$4</f>
        <v>5067745.9075861992</v>
      </c>
      <c r="AM4" s="235">
        <f t="shared" ref="AM4" si="2">AK4*$C$4</f>
        <v>5194439.5552758537</v>
      </c>
      <c r="AO4" s="235">
        <f t="shared" ref="AO4" si="3">AM4*$C$4</f>
        <v>5324300.54415775</v>
      </c>
      <c r="AQ4" s="235">
        <f t="shared" ref="AQ4" si="4">AO4*$C$4</f>
        <v>5457408.0577616934</v>
      </c>
      <c r="AS4" s="235">
        <f t="shared" ref="AS4" si="5">AQ4*$C$4</f>
        <v>5593843.2592057353</v>
      </c>
      <c r="AU4" s="235">
        <f t="shared" ref="AU4" si="6">AS4*$C$4</f>
        <v>5733689.3406858779</v>
      </c>
      <c r="AW4" s="235">
        <f t="shared" ref="AW4" si="7">AU4*$C$4</f>
        <v>5877031.5742030246</v>
      </c>
      <c r="AY4" s="235">
        <f t="shared" ref="AY4" si="8">AW4*$C$4</f>
        <v>6023957.3635580996</v>
      </c>
      <c r="BA4" s="235">
        <f t="shared" ref="BA4" si="9">AY4*$C$4</f>
        <v>6174556.2976470515</v>
      </c>
      <c r="BC4" s="235">
        <f t="shared" ref="BC4" si="10">BA4*$C$4</f>
        <v>6328920.2050882271</v>
      </c>
      <c r="BE4" s="235">
        <f t="shared" ref="BE4" si="11">BC4*$C$4</f>
        <v>6487143.2102154326</v>
      </c>
      <c r="BG4" s="235">
        <f t="shared" ref="BG4" si="12">BE4*$C$4</f>
        <v>6649321.7904708181</v>
      </c>
      <c r="BI4" s="235">
        <f t="shared" ref="BI4" si="13">BG4*$C$4</f>
        <v>6815554.8352325875</v>
      </c>
      <c r="BK4" s="235">
        <f t="shared" ref="BK4" si="14">BI4*$C$4</f>
        <v>6985943.7061134018</v>
      </c>
    </row>
    <row r="5" spans="1:64" s="225" customFormat="1" ht="14.25">
      <c r="B5" s="225" t="s">
        <v>850</v>
      </c>
      <c r="C5" s="254">
        <f>IF(Application!$D$211="Special Needs",0.1,0.05)</f>
        <v>0.05</v>
      </c>
      <c r="E5" s="237">
        <f>-E4*$C$5</f>
        <v>-170688</v>
      </c>
      <c r="F5" s="237"/>
      <c r="G5" s="237">
        <f>-G4*$C$5</f>
        <v>-174955.19999999998</v>
      </c>
      <c r="H5" s="237"/>
      <c r="I5" s="237">
        <f>-I4*$C$5</f>
        <v>-179329.07999999996</v>
      </c>
      <c r="J5" s="237"/>
      <c r="K5" s="237">
        <f>-K4*$C$5</f>
        <v>-183812.30699999994</v>
      </c>
      <c r="L5" s="237"/>
      <c r="M5" s="237">
        <f>-M4*$C$5</f>
        <v>-188407.61467499993</v>
      </c>
      <c r="N5" s="237"/>
      <c r="O5" s="237">
        <f>-O4*$C$5</f>
        <v>-193117.8050418749</v>
      </c>
      <c r="P5" s="237"/>
      <c r="Q5" s="237">
        <f>-Q4*$C$5</f>
        <v>-197945.75016792177</v>
      </c>
      <c r="R5" s="237"/>
      <c r="S5" s="237">
        <f>-S4*$C$5</f>
        <v>-202894.39392211978</v>
      </c>
      <c r="T5" s="237"/>
      <c r="U5" s="237">
        <f>-U4*$C$5</f>
        <v>-207966.75377017277</v>
      </c>
      <c r="V5" s="237"/>
      <c r="W5" s="237">
        <f>-W4*$C$5</f>
        <v>-213165.92261442705</v>
      </c>
      <c r="X5" s="237"/>
      <c r="Y5" s="237">
        <f>-Y4*$C$5</f>
        <v>-218495.07067978769</v>
      </c>
      <c r="Z5" s="237"/>
      <c r="AA5" s="237">
        <f>-AA4*$C$5</f>
        <v>-223957.44744678237</v>
      </c>
      <c r="AB5" s="237"/>
      <c r="AC5" s="237">
        <f>-AC4*$C$5</f>
        <v>-229556.38363295194</v>
      </c>
      <c r="AD5" s="237"/>
      <c r="AE5" s="237">
        <f>-AE4*$C$5</f>
        <v>-235295.29322377569</v>
      </c>
      <c r="AF5" s="237"/>
      <c r="AG5" s="237">
        <f>-AG4*$C$5</f>
        <v>-241177.67555437004</v>
      </c>
      <c r="AI5" s="237">
        <f t="shared" ref="AI5" si="15">-AI4*$C$5</f>
        <v>-247207.11744322928</v>
      </c>
      <c r="AK5" s="237">
        <f t="shared" ref="AK5" si="16">-AK4*$C$5</f>
        <v>-253387.29537930997</v>
      </c>
      <c r="AM5" s="237">
        <f t="shared" ref="AM5" si="17">-AM4*$C$5</f>
        <v>-259721.9777637927</v>
      </c>
      <c r="AO5" s="237">
        <f t="shared" ref="AO5" si="18">-AO4*$C$5</f>
        <v>-266215.0272078875</v>
      </c>
      <c r="AQ5" s="237">
        <f t="shared" ref="AQ5" si="19">-AQ4*$C$5</f>
        <v>-272870.4028880847</v>
      </c>
      <c r="AS5" s="237">
        <f t="shared" ref="AS5" si="20">-AS4*$C$5</f>
        <v>-279692.16296028678</v>
      </c>
      <c r="AU5" s="237">
        <f t="shared" ref="AU5" si="21">-AU4*$C$5</f>
        <v>-286684.46703429392</v>
      </c>
      <c r="AW5" s="237">
        <f t="shared" ref="AW5" si="22">-AW4*$C$5</f>
        <v>-293851.57871015125</v>
      </c>
      <c r="AY5" s="237">
        <f t="shared" ref="AY5" si="23">-AY4*$C$5</f>
        <v>-301197.86817790498</v>
      </c>
      <c r="BA5" s="237">
        <f t="shared" ref="BA5" si="24">-BA4*$C$5</f>
        <v>-308727.8148823526</v>
      </c>
      <c r="BC5" s="237">
        <f t="shared" ref="BC5" si="25">-BC4*$C$5</f>
        <v>-316446.01025441138</v>
      </c>
      <c r="BE5" s="237">
        <f t="shared" ref="BE5" si="26">-BE4*$C$5</f>
        <v>-324357.16051077168</v>
      </c>
      <c r="BG5" s="237">
        <f t="shared" ref="BG5" si="27">-BG4*$C$5</f>
        <v>-332466.08952354093</v>
      </c>
      <c r="BI5" s="237">
        <f t="shared" ref="BI5" si="28">-BI4*$C$5</f>
        <v>-340777.74176162941</v>
      </c>
      <c r="BK5" s="237">
        <f t="shared" ref="BK5" si="29">-BK4*$C$5</f>
        <v>-349297.18530567014</v>
      </c>
    </row>
    <row r="6" spans="1:6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c r="AI6" s="238">
        <f t="shared" ref="AI6" si="30">AG6*$C$6</f>
        <v>0</v>
      </c>
      <c r="AK6" s="238">
        <f t="shared" ref="AK6" si="31">AI6*$C$6</f>
        <v>0</v>
      </c>
      <c r="AM6" s="238">
        <f t="shared" ref="AM6" si="32">AK6*$C$6</f>
        <v>0</v>
      </c>
      <c r="AO6" s="238">
        <f t="shared" ref="AO6" si="33">AM6*$C$6</f>
        <v>0</v>
      </c>
      <c r="AQ6" s="238">
        <f t="shared" ref="AQ6" si="34">AO6*$C$6</f>
        <v>0</v>
      </c>
      <c r="AS6" s="238">
        <f t="shared" ref="AS6" si="35">AQ6*$C$6</f>
        <v>0</v>
      </c>
      <c r="AU6" s="238">
        <f t="shared" ref="AU6" si="36">AS6*$C$6</f>
        <v>0</v>
      </c>
      <c r="AW6" s="238">
        <f t="shared" ref="AW6" si="37">AU6*$C$6</f>
        <v>0</v>
      </c>
      <c r="AY6" s="238">
        <f t="shared" ref="AY6" si="38">AW6*$C$6</f>
        <v>0</v>
      </c>
      <c r="BA6" s="238">
        <f t="shared" ref="BA6" si="39">AY6*$C$6</f>
        <v>0</v>
      </c>
      <c r="BC6" s="238">
        <f t="shared" ref="BC6" si="40">BA6*$C$6</f>
        <v>0</v>
      </c>
      <c r="BE6" s="238">
        <f t="shared" ref="BE6" si="41">BC6*$C$6</f>
        <v>0</v>
      </c>
      <c r="BG6" s="238">
        <f t="shared" ref="BG6" si="42">BE6*$C$6</f>
        <v>0</v>
      </c>
      <c r="BI6" s="238">
        <f t="shared" ref="BI6" si="43">BG6*$C$6</f>
        <v>0</v>
      </c>
      <c r="BK6" s="238">
        <f t="shared" ref="BK6" si="44">BI6*$C$6</f>
        <v>0</v>
      </c>
    </row>
    <row r="7" spans="1:6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c r="AI7" s="237">
        <f t="shared" ref="AI7" si="45">-AI6*$C$7</f>
        <v>0</v>
      </c>
      <c r="AK7" s="237">
        <f t="shared" ref="AK7" si="46">-AK6*$C$7</f>
        <v>0</v>
      </c>
      <c r="AM7" s="237">
        <f t="shared" ref="AM7" si="47">-AM6*$C$7</f>
        <v>0</v>
      </c>
      <c r="AO7" s="237">
        <f t="shared" ref="AO7" si="48">-AO6*$C$7</f>
        <v>0</v>
      </c>
      <c r="AQ7" s="237">
        <f t="shared" ref="AQ7" si="49">-AQ6*$C$7</f>
        <v>0</v>
      </c>
      <c r="AS7" s="237">
        <f t="shared" ref="AS7" si="50">-AS6*$C$7</f>
        <v>0</v>
      </c>
      <c r="AU7" s="237">
        <f t="shared" ref="AU7" si="51">-AU6*$C$7</f>
        <v>0</v>
      </c>
      <c r="AW7" s="237">
        <f t="shared" ref="AW7" si="52">-AW6*$C$7</f>
        <v>0</v>
      </c>
      <c r="AY7" s="237">
        <f t="shared" ref="AY7" si="53">-AY6*$C$7</f>
        <v>0</v>
      </c>
      <c r="BA7" s="237">
        <f t="shared" ref="BA7" si="54">-BA6*$C$7</f>
        <v>0</v>
      </c>
      <c r="BC7" s="237">
        <f t="shared" ref="BC7" si="55">-BC6*$C$7</f>
        <v>0</v>
      </c>
      <c r="BE7" s="237">
        <f t="shared" ref="BE7" si="56">-BE6*$C$7</f>
        <v>0</v>
      </c>
      <c r="BG7" s="237">
        <f t="shared" ref="BG7" si="57">-BG6*$C$7</f>
        <v>0</v>
      </c>
      <c r="BI7" s="237">
        <f t="shared" ref="BI7" si="58">-BI6*$C$7</f>
        <v>0</v>
      </c>
      <c r="BK7" s="237">
        <f t="shared" ref="BK7" si="59">-BK6*$C$7</f>
        <v>0</v>
      </c>
    </row>
    <row r="8" spans="1:64" s="225" customFormat="1" ht="14.25">
      <c r="A8" s="225" t="s">
        <v>289</v>
      </c>
      <c r="C8" s="253">
        <v>1.0249999999999999</v>
      </c>
      <c r="E8" s="238">
        <f>Application!Z817</f>
        <v>266188</v>
      </c>
      <c r="F8" s="238"/>
      <c r="G8" s="238">
        <f>E8*$C$8</f>
        <v>272842.69999999995</v>
      </c>
      <c r="H8" s="238"/>
      <c r="I8" s="238">
        <f>G8*$C$8</f>
        <v>279663.7674999999</v>
      </c>
      <c r="J8" s="238"/>
      <c r="K8" s="238">
        <f>I8*$C$8</f>
        <v>286655.36168749986</v>
      </c>
      <c r="L8" s="238"/>
      <c r="M8" s="238">
        <f>K8*$C$8</f>
        <v>293821.74572968733</v>
      </c>
      <c r="N8" s="238"/>
      <c r="O8" s="238">
        <f>M8*$C$8</f>
        <v>301167.28937292949</v>
      </c>
      <c r="P8" s="238"/>
      <c r="Q8" s="238">
        <f>O8*$C$8</f>
        <v>308696.47160725272</v>
      </c>
      <c r="R8" s="238"/>
      <c r="S8" s="238">
        <f>Q8*$C$8</f>
        <v>316413.88339743402</v>
      </c>
      <c r="T8" s="238"/>
      <c r="U8" s="238">
        <f>S8*$C$8</f>
        <v>324324.23048236984</v>
      </c>
      <c r="V8" s="238"/>
      <c r="W8" s="238">
        <f>U8*$C$8</f>
        <v>332432.33624442905</v>
      </c>
      <c r="X8" s="238"/>
      <c r="Y8" s="238">
        <f>W8*$C$8</f>
        <v>340743.14465053973</v>
      </c>
      <c r="Z8" s="238"/>
      <c r="AA8" s="238">
        <f>Y8*$C$8</f>
        <v>349261.72326680319</v>
      </c>
      <c r="AB8" s="238"/>
      <c r="AC8" s="238">
        <f>AA8*$C$8</f>
        <v>357993.26634847326</v>
      </c>
      <c r="AD8" s="238"/>
      <c r="AE8" s="238">
        <f>AC8*$C$8</f>
        <v>366943.09800718504</v>
      </c>
      <c r="AF8" s="238"/>
      <c r="AG8" s="238">
        <f>AE8*$C$8</f>
        <v>376116.67545736465</v>
      </c>
      <c r="AI8" s="238">
        <f t="shared" ref="AI8" si="60">AG8*$C$8</f>
        <v>385519.59234379872</v>
      </c>
      <c r="AK8" s="238">
        <f t="shared" ref="AK8" si="61">AI8*$C$8</f>
        <v>395157.58215239365</v>
      </c>
      <c r="AM8" s="238">
        <f t="shared" ref="AM8" si="62">AK8*$C$8</f>
        <v>405036.52170620346</v>
      </c>
      <c r="AO8" s="238">
        <f t="shared" ref="AO8" si="63">AM8*$C$8</f>
        <v>415162.4347488585</v>
      </c>
      <c r="AQ8" s="238">
        <f t="shared" ref="AQ8" si="64">AO8*$C$8</f>
        <v>425541.4956175799</v>
      </c>
      <c r="AS8" s="238">
        <f t="shared" ref="AS8" si="65">AQ8*$C$8</f>
        <v>436180.03300801938</v>
      </c>
      <c r="AU8" s="238">
        <f t="shared" ref="AU8" si="66">AS8*$C$8</f>
        <v>447084.53383321984</v>
      </c>
      <c r="AW8" s="238">
        <f t="shared" ref="AW8" si="67">AU8*$C$8</f>
        <v>458261.64717905031</v>
      </c>
      <c r="AY8" s="238">
        <f t="shared" ref="AY8" si="68">AW8*$C$8</f>
        <v>469718.1883585265</v>
      </c>
      <c r="BA8" s="238">
        <f t="shared" ref="BA8" si="69">AY8*$C$8</f>
        <v>481461.14306748961</v>
      </c>
      <c r="BC8" s="238">
        <f t="shared" ref="BC8" si="70">BA8*$C$8</f>
        <v>493497.67164417682</v>
      </c>
      <c r="BE8" s="238">
        <f t="shared" ref="BE8" si="71">BC8*$C$8</f>
        <v>505835.11343528121</v>
      </c>
      <c r="BG8" s="238">
        <f t="shared" ref="BG8" si="72">BE8*$C$8</f>
        <v>518480.99127116322</v>
      </c>
      <c r="BI8" s="238">
        <f t="shared" ref="BI8" si="73">BG8*$C$8</f>
        <v>531443.01605294226</v>
      </c>
      <c r="BK8" s="238">
        <f t="shared" ref="BK8" si="74">BI8*$C$8</f>
        <v>544729.09145426576</v>
      </c>
    </row>
    <row r="9" spans="1:64" s="225" customFormat="1" ht="14.25">
      <c r="B9" s="225" t="s">
        <v>850</v>
      </c>
      <c r="C9" s="254">
        <f>IF(Application!$D$211="Special Needs",0.1,0.05)</f>
        <v>0.05</v>
      </c>
      <c r="E9" s="237">
        <f>-E8*$C$9</f>
        <v>-13309.400000000001</v>
      </c>
      <c r="F9" s="237"/>
      <c r="G9" s="237">
        <f>-G8*$C$9</f>
        <v>-13642.134999999998</v>
      </c>
      <c r="H9" s="237"/>
      <c r="I9" s="237">
        <f>-I8*$C$9</f>
        <v>-13983.188374999996</v>
      </c>
      <c r="J9" s="237"/>
      <c r="K9" s="237">
        <f>-K8*$C$9</f>
        <v>-14332.768084374993</v>
      </c>
      <c r="L9" s="237"/>
      <c r="M9" s="237">
        <f>-M8*$C$9</f>
        <v>-14691.087286484368</v>
      </c>
      <c r="N9" s="237"/>
      <c r="O9" s="237">
        <f>-O8*$C$9</f>
        <v>-15058.364468646476</v>
      </c>
      <c r="P9" s="237"/>
      <c r="Q9" s="237">
        <f>-Q8*$C$9</f>
        <v>-15434.823580362638</v>
      </c>
      <c r="R9" s="237"/>
      <c r="S9" s="237">
        <f>-S8*$C$9</f>
        <v>-15820.694169871702</v>
      </c>
      <c r="T9" s="237"/>
      <c r="U9" s="237">
        <f>-U8*$C$9</f>
        <v>-16216.211524118493</v>
      </c>
      <c r="V9" s="237"/>
      <c r="W9" s="237">
        <f>-W8*$C$9</f>
        <v>-16621.616812221455</v>
      </c>
      <c r="X9" s="237"/>
      <c r="Y9" s="237">
        <f>-Y8*$C$9</f>
        <v>-17037.157232526988</v>
      </c>
      <c r="Z9" s="237"/>
      <c r="AA9" s="237">
        <f>-AA8*$C$9</f>
        <v>-17463.086163340162</v>
      </c>
      <c r="AB9" s="237"/>
      <c r="AC9" s="237">
        <f>-AC8*$C$9</f>
        <v>-17899.663317423663</v>
      </c>
      <c r="AD9" s="237"/>
      <c r="AE9" s="237">
        <f>-AE8*$C$9</f>
        <v>-18347.154900359252</v>
      </c>
      <c r="AF9" s="237"/>
      <c r="AG9" s="237">
        <f>-AG8*$C$9</f>
        <v>-18805.833772868235</v>
      </c>
      <c r="AI9" s="237">
        <f t="shared" ref="AI9" si="75">-AI8*$C$9</f>
        <v>-19275.979617189936</v>
      </c>
      <c r="AK9" s="237">
        <f t="shared" ref="AK9" si="76">-AK8*$C$9</f>
        <v>-19757.879107619683</v>
      </c>
      <c r="AM9" s="237">
        <f t="shared" ref="AM9" si="77">-AM8*$C$9</f>
        <v>-20251.826085310175</v>
      </c>
      <c r="AO9" s="237">
        <f t="shared" ref="AO9" si="78">-AO8*$C$9</f>
        <v>-20758.121737442925</v>
      </c>
      <c r="AQ9" s="237">
        <f t="shared" ref="AQ9" si="79">-AQ8*$C$9</f>
        <v>-21277.074780878997</v>
      </c>
      <c r="AS9" s="237">
        <f t="shared" ref="AS9" si="80">-AS8*$C$9</f>
        <v>-21809.001650400969</v>
      </c>
      <c r="AU9" s="237">
        <f t="shared" ref="AU9" si="81">-AU8*$C$9</f>
        <v>-22354.226691660995</v>
      </c>
      <c r="AW9" s="237">
        <f t="shared" ref="AW9" si="82">-AW8*$C$9</f>
        <v>-22913.082358952517</v>
      </c>
      <c r="AY9" s="237">
        <f t="shared" ref="AY9" si="83">-AY8*$C$9</f>
        <v>-23485.909417926327</v>
      </c>
      <c r="BA9" s="237">
        <f t="shared" ref="BA9" si="84">-BA8*$C$9</f>
        <v>-24073.057153374481</v>
      </c>
      <c r="BC9" s="237">
        <f t="shared" ref="BC9" si="85">-BC8*$C$9</f>
        <v>-24674.883582208844</v>
      </c>
      <c r="BE9" s="237">
        <f t="shared" ref="BE9" si="86">-BE8*$C$9</f>
        <v>-25291.755671764062</v>
      </c>
      <c r="BG9" s="237">
        <f t="shared" ref="BG9" si="87">-BG8*$C$9</f>
        <v>-25924.049563558161</v>
      </c>
      <c r="BI9" s="237">
        <f t="shared" ref="BI9" si="88">-BI8*$C$9</f>
        <v>-26572.150802647113</v>
      </c>
      <c r="BK9" s="237">
        <f t="shared" ref="BK9" si="89">-BK8*$C$9</f>
        <v>-27236.45457271329</v>
      </c>
    </row>
    <row r="10" spans="1:6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c r="AI10" s="1188"/>
      <c r="AK10" s="1188"/>
      <c r="AM10" s="1188"/>
      <c r="AO10" s="1188"/>
      <c r="AQ10" s="1188"/>
      <c r="AS10" s="1188"/>
      <c r="AU10" s="1188"/>
      <c r="AW10" s="1188"/>
      <c r="AY10" s="1188"/>
      <c r="BA10" s="1188"/>
      <c r="BC10" s="1188"/>
      <c r="BE10" s="1188"/>
      <c r="BG10" s="1188"/>
      <c r="BI10" s="1188"/>
      <c r="BK10" s="1188"/>
    </row>
    <row r="11" spans="1:64" s="239" customFormat="1" ht="15">
      <c r="A11" s="239" t="s">
        <v>871</v>
      </c>
      <c r="C11" s="231"/>
      <c r="E11" s="239">
        <f>SUM(E4:E10)</f>
        <v>3495950.6</v>
      </c>
      <c r="G11" s="239">
        <f>SUM(G4:G10)</f>
        <v>3583349.3649999993</v>
      </c>
      <c r="I11" s="239">
        <f>SUM(I4:I10)</f>
        <v>3672933.0991249993</v>
      </c>
      <c r="K11" s="239">
        <f>SUM(K4:K10)</f>
        <v>3764756.4266031235</v>
      </c>
      <c r="M11" s="239">
        <f>SUM(M4:M10)</f>
        <v>3858875.3372682012</v>
      </c>
      <c r="O11" s="239">
        <f>SUM(O4:O10)</f>
        <v>3955347.2206999059</v>
      </c>
      <c r="Q11" s="239">
        <f>SUM(Q4:Q10)</f>
        <v>4054230.9012174029</v>
      </c>
      <c r="S11" s="239">
        <f>SUM(S4:S10)</f>
        <v>4155586.673747838</v>
      </c>
      <c r="U11" s="239">
        <f>SUM(U4:U10)</f>
        <v>4259476.340591534</v>
      </c>
      <c r="W11" s="239">
        <f>SUM(W4:W10)</f>
        <v>4365963.2491063215</v>
      </c>
      <c r="Y11" s="239">
        <f>SUM(Y4:Y10)</f>
        <v>4475112.3303339789</v>
      </c>
      <c r="AA11" s="239">
        <f>SUM(AA4:AA10)</f>
        <v>4586990.1385923289</v>
      </c>
      <c r="AC11" s="239">
        <f>SUM(AC4:AC10)</f>
        <v>4701664.8920571357</v>
      </c>
      <c r="AE11" s="239">
        <f>SUM(AE4:AE10)</f>
        <v>4819206.5143585643</v>
      </c>
      <c r="AG11" s="239">
        <f>SUM(AG4:AG10)</f>
        <v>4939686.6772175273</v>
      </c>
      <c r="AI11" s="239">
        <f t="shared" ref="AI11" si="90">SUM(AI4:AI10)</f>
        <v>5063178.8441479653</v>
      </c>
      <c r="AK11" s="239">
        <f t="shared" ref="AK11" si="91">SUM(AK4:AK10)</f>
        <v>5189758.3152516633</v>
      </c>
      <c r="AM11" s="239">
        <f t="shared" ref="AM11" si="92">SUM(AM4:AM10)</f>
        <v>5319502.2731329538</v>
      </c>
      <c r="AO11" s="239">
        <f t="shared" ref="AO11" si="93">SUM(AO4:AO10)</f>
        <v>5452489.8299612775</v>
      </c>
      <c r="AQ11" s="239">
        <f t="shared" ref="AQ11" si="94">SUM(AQ4:AQ10)</f>
        <v>5588802.0757103097</v>
      </c>
      <c r="AS11" s="239">
        <f t="shared" ref="AS11" si="95">SUM(AS4:AS10)</f>
        <v>5728522.1276030662</v>
      </c>
      <c r="AU11" s="239">
        <f t="shared" ref="AU11" si="96">SUM(AU4:AU10)</f>
        <v>5871735.1807931419</v>
      </c>
      <c r="AW11" s="239">
        <f t="shared" ref="AW11" si="97">SUM(AW4:AW10)</f>
        <v>6018528.5603129715</v>
      </c>
      <c r="AY11" s="239">
        <f t="shared" ref="AY11" si="98">SUM(AY4:AY10)</f>
        <v>6168991.7743207952</v>
      </c>
      <c r="BA11" s="239">
        <f t="shared" ref="BA11" si="99">SUM(BA4:BA10)</f>
        <v>6323216.5686788131</v>
      </c>
      <c r="BC11" s="239">
        <f t="shared" ref="BC11" si="100">SUM(BC4:BC10)</f>
        <v>6481296.9828957831</v>
      </c>
      <c r="BE11" s="239">
        <f t="shared" ref="BE11" si="101">SUM(BE4:BE10)</f>
        <v>6643329.4074681783</v>
      </c>
      <c r="BG11" s="239">
        <f t="shared" ref="BG11" si="102">SUM(BG4:BG10)</f>
        <v>6809412.6426548827</v>
      </c>
      <c r="BI11" s="239">
        <f t="shared" ref="BI11" si="103">SUM(BI4:BI10)</f>
        <v>6979647.9587212531</v>
      </c>
      <c r="BK11" s="239">
        <f t="shared" ref="BK11" si="104">SUM(BK4:BK10)</f>
        <v>7154139.1576892845</v>
      </c>
    </row>
    <row r="12" spans="1:6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I12" s="230"/>
      <c r="AK12" s="230"/>
      <c r="AM12" s="230"/>
      <c r="AO12" s="230"/>
      <c r="AQ12" s="230"/>
      <c r="AS12" s="230"/>
      <c r="AU12" s="230"/>
      <c r="AW12" s="230"/>
      <c r="AY12" s="230"/>
      <c r="BA12" s="230"/>
      <c r="BC12" s="230"/>
      <c r="BE12" s="230"/>
      <c r="BG12" s="230"/>
      <c r="BI12" s="230"/>
      <c r="BK12" s="230"/>
    </row>
    <row r="13" spans="1:6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I13" s="230"/>
      <c r="AK13" s="230"/>
      <c r="AM13" s="230"/>
      <c r="AO13" s="230"/>
      <c r="AQ13" s="230"/>
      <c r="AS13" s="230"/>
      <c r="AU13" s="230"/>
      <c r="AW13" s="230"/>
      <c r="AY13" s="230"/>
      <c r="BA13" s="230"/>
      <c r="BC13" s="230"/>
      <c r="BE13" s="230"/>
      <c r="BG13" s="230"/>
      <c r="BI13" s="230"/>
      <c r="BK13" s="230"/>
    </row>
    <row r="14" spans="1:6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I14" s="238"/>
      <c r="AK14" s="238"/>
      <c r="AM14" s="238"/>
      <c r="AO14" s="238"/>
      <c r="AQ14" s="238"/>
      <c r="AS14" s="238"/>
      <c r="AU14" s="238"/>
      <c r="AW14" s="238"/>
      <c r="AY14" s="238"/>
      <c r="BA14" s="238"/>
      <c r="BC14" s="238"/>
      <c r="BE14" s="238"/>
      <c r="BG14" s="238"/>
      <c r="BI14" s="238"/>
      <c r="BK14" s="238"/>
    </row>
    <row r="15" spans="1:64" s="235" customFormat="1" ht="14.25">
      <c r="A15" s="235" t="s">
        <v>853</v>
      </c>
      <c r="C15" s="185"/>
      <c r="E15" s="235">
        <f>Application!W847</f>
        <v>100275</v>
      </c>
      <c r="G15" s="235">
        <f>E15*$C$14</f>
        <v>103784.62499999999</v>
      </c>
      <c r="I15" s="235">
        <f>G15*$C$14</f>
        <v>107417.08687499998</v>
      </c>
      <c r="K15" s="235">
        <f>I15*$C$14</f>
        <v>111176.68491562497</v>
      </c>
      <c r="M15" s="235">
        <f>K15*$C$14</f>
        <v>115067.86888767184</v>
      </c>
      <c r="O15" s="235">
        <f>M15*$C$14</f>
        <v>119095.24429874035</v>
      </c>
      <c r="Q15" s="235">
        <f>O15*$C$14</f>
        <v>123263.57784919626</v>
      </c>
      <c r="S15" s="235">
        <f>Q15*$C$14</f>
        <v>127577.80307391811</v>
      </c>
      <c r="U15" s="235">
        <f>S15*$C$14</f>
        <v>132043.02618150524</v>
      </c>
      <c r="W15" s="235">
        <f>U15*$C$14</f>
        <v>136664.53209785791</v>
      </c>
      <c r="Y15" s="235">
        <f>W15*$C$14</f>
        <v>141447.79072128292</v>
      </c>
      <c r="AA15" s="235">
        <f>Y15*$C$14</f>
        <v>146398.4633965278</v>
      </c>
      <c r="AC15" s="235">
        <f>AA15*$C$14</f>
        <v>151522.40961540627</v>
      </c>
      <c r="AE15" s="235">
        <f>AC15*$C$14</f>
        <v>156825.69395194549</v>
      </c>
      <c r="AG15" s="235">
        <f>AE15*$C$14</f>
        <v>162314.59324026358</v>
      </c>
      <c r="AI15" s="235">
        <f t="shared" ref="AI15:AI21" si="105">AG15*$C$14</f>
        <v>167995.60400367278</v>
      </c>
      <c r="AK15" s="235">
        <f t="shared" ref="AK15:AK21" si="106">AI15*$C$14</f>
        <v>173875.45014380131</v>
      </c>
      <c r="AM15" s="235">
        <f t="shared" ref="AM15:AM21" si="107">AK15*$C$14</f>
        <v>179961.09089883434</v>
      </c>
      <c r="AO15" s="235">
        <f t="shared" ref="AO15:AO21" si="108">AM15*$C$14</f>
        <v>186259.72908029353</v>
      </c>
      <c r="AQ15" s="235">
        <f t="shared" ref="AQ15:AQ21" si="109">AO15*$C$14</f>
        <v>192778.81959810379</v>
      </c>
      <c r="AS15" s="235">
        <f t="shared" ref="AS15:AS21" si="110">AQ15*$C$14</f>
        <v>199526.07828403742</v>
      </c>
      <c r="AU15" s="235">
        <f t="shared" ref="AU15:AU21" si="111">AS15*$C$14</f>
        <v>206509.49102397871</v>
      </c>
      <c r="AW15" s="235">
        <f t="shared" ref="AW15:AW21" si="112">AU15*$C$14</f>
        <v>213737.32320981796</v>
      </c>
      <c r="AY15" s="235">
        <f t="shared" ref="AY15:AY21" si="113">AW15*$C$14</f>
        <v>221218.12952216156</v>
      </c>
      <c r="BA15" s="235">
        <f t="shared" ref="BA15:BA21" si="114">AY15*$C$14</f>
        <v>228960.7640554372</v>
      </c>
      <c r="BC15" s="235">
        <f t="shared" ref="BC15:BC21" si="115">BA15*$C$14</f>
        <v>236974.39079737748</v>
      </c>
      <c r="BE15" s="235">
        <f t="shared" ref="BE15:BE21" si="116">BC15*$C$14</f>
        <v>245268.49447528567</v>
      </c>
      <c r="BG15" s="235">
        <f t="shared" ref="BG15:BG21" si="117">BE15*$C$14</f>
        <v>253852.89178192065</v>
      </c>
      <c r="BI15" s="235">
        <f t="shared" ref="BI15:BI21" si="118">BG15*$C$14</f>
        <v>262737.74299428787</v>
      </c>
      <c r="BK15" s="235">
        <f t="shared" ref="BK15:BK21" si="119">BI15*$C$14</f>
        <v>271933.5639990879</v>
      </c>
    </row>
    <row r="16" spans="1:64" s="225" customFormat="1" ht="14.25">
      <c r="A16" s="225" t="s">
        <v>345</v>
      </c>
      <c r="C16" s="249"/>
      <c r="E16" s="238">
        <f>Application!W849</f>
        <v>110947</v>
      </c>
      <c r="F16" s="238"/>
      <c r="G16" s="238">
        <f t="shared" ref="G16:AG21" si="120">E16*$C$14</f>
        <v>114830.14499999999</v>
      </c>
      <c r="H16" s="238"/>
      <c r="I16" s="238">
        <f t="shared" si="120"/>
        <v>118849.20007499999</v>
      </c>
      <c r="J16" s="238"/>
      <c r="K16" s="238">
        <f t="shared" si="120"/>
        <v>123008.92207762497</v>
      </c>
      <c r="L16" s="238"/>
      <c r="M16" s="238">
        <f t="shared" si="120"/>
        <v>127314.23435034184</v>
      </c>
      <c r="N16" s="238"/>
      <c r="O16" s="238">
        <f t="shared" si="120"/>
        <v>131770.23255260379</v>
      </c>
      <c r="P16" s="238"/>
      <c r="Q16" s="238">
        <f t="shared" si="120"/>
        <v>136382.19069194491</v>
      </c>
      <c r="R16" s="238"/>
      <c r="S16" s="238">
        <f t="shared" si="120"/>
        <v>141155.56736616298</v>
      </c>
      <c r="T16" s="238"/>
      <c r="U16" s="238">
        <f t="shared" si="120"/>
        <v>146096.01222397867</v>
      </c>
      <c r="V16" s="238"/>
      <c r="W16" s="238">
        <f t="shared" si="120"/>
        <v>151209.37265181792</v>
      </c>
      <c r="X16" s="238"/>
      <c r="Y16" s="238">
        <f t="shared" si="120"/>
        <v>156501.70069463152</v>
      </c>
      <c r="Z16" s="238"/>
      <c r="AA16" s="238">
        <f t="shared" si="120"/>
        <v>161979.26021894361</v>
      </c>
      <c r="AB16" s="238"/>
      <c r="AC16" s="238">
        <f t="shared" si="120"/>
        <v>167648.53432660663</v>
      </c>
      <c r="AD16" s="238"/>
      <c r="AE16" s="238">
        <f t="shared" si="120"/>
        <v>173516.23302803785</v>
      </c>
      <c r="AF16" s="238"/>
      <c r="AG16" s="238">
        <f t="shared" si="120"/>
        <v>179589.30118401916</v>
      </c>
      <c r="AI16" s="238">
        <f t="shared" si="105"/>
        <v>185874.92672545981</v>
      </c>
      <c r="AK16" s="238">
        <f t="shared" si="106"/>
        <v>192380.54916085087</v>
      </c>
      <c r="AM16" s="238">
        <f t="shared" si="107"/>
        <v>199113.86838148063</v>
      </c>
      <c r="AO16" s="238">
        <f t="shared" si="108"/>
        <v>206082.85377483245</v>
      </c>
      <c r="AQ16" s="238">
        <f t="shared" si="109"/>
        <v>213295.75365695157</v>
      </c>
      <c r="AS16" s="238">
        <f t="shared" si="110"/>
        <v>220761.10503494486</v>
      </c>
      <c r="AU16" s="238">
        <f t="shared" si="111"/>
        <v>228487.74371116792</v>
      </c>
      <c r="AW16" s="238">
        <f t="shared" si="112"/>
        <v>236484.81474105877</v>
      </c>
      <c r="AY16" s="238">
        <f t="shared" si="113"/>
        <v>244761.78325699581</v>
      </c>
      <c r="BA16" s="238">
        <f t="shared" si="114"/>
        <v>253328.44567099065</v>
      </c>
      <c r="BC16" s="238">
        <f t="shared" si="115"/>
        <v>262194.94126947533</v>
      </c>
      <c r="BE16" s="238">
        <f t="shared" si="116"/>
        <v>271371.76421390695</v>
      </c>
      <c r="BG16" s="238">
        <f t="shared" si="117"/>
        <v>280869.77596139367</v>
      </c>
      <c r="BI16" s="238">
        <f t="shared" si="118"/>
        <v>290700.21812004241</v>
      </c>
      <c r="BK16" s="238">
        <f t="shared" si="119"/>
        <v>300874.72575424385</v>
      </c>
    </row>
    <row r="17" spans="1:63" s="225" customFormat="1" ht="14.25">
      <c r="A17" s="225" t="s">
        <v>570</v>
      </c>
      <c r="C17" s="249"/>
      <c r="E17" s="238">
        <f>Application!W855</f>
        <v>28650</v>
      </c>
      <c r="F17" s="238"/>
      <c r="G17" s="238">
        <f t="shared" si="120"/>
        <v>29652.749999999996</v>
      </c>
      <c r="H17" s="238"/>
      <c r="I17" s="238">
        <f t="shared" si="120"/>
        <v>30690.596249999995</v>
      </c>
      <c r="J17" s="238"/>
      <c r="K17" s="238">
        <f t="shared" si="120"/>
        <v>31764.767118749991</v>
      </c>
      <c r="L17" s="238"/>
      <c r="M17" s="238">
        <f t="shared" si="120"/>
        <v>32876.533967906238</v>
      </c>
      <c r="N17" s="238"/>
      <c r="O17" s="238">
        <f t="shared" si="120"/>
        <v>34027.212656782955</v>
      </c>
      <c r="P17" s="238"/>
      <c r="Q17" s="238">
        <f t="shared" si="120"/>
        <v>35218.165099770355</v>
      </c>
      <c r="R17" s="238"/>
      <c r="S17" s="238">
        <f t="shared" si="120"/>
        <v>36450.800878262315</v>
      </c>
      <c r="T17" s="238"/>
      <c r="U17" s="238">
        <f t="shared" si="120"/>
        <v>37726.578909001495</v>
      </c>
      <c r="V17" s="238"/>
      <c r="W17" s="238">
        <f t="shared" si="120"/>
        <v>39047.009170816542</v>
      </c>
      <c r="X17" s="238"/>
      <c r="Y17" s="238">
        <f t="shared" si="120"/>
        <v>40413.654491795118</v>
      </c>
      <c r="Z17" s="238"/>
      <c r="AA17" s="238">
        <f t="shared" si="120"/>
        <v>41828.132399007947</v>
      </c>
      <c r="AB17" s="238"/>
      <c r="AC17" s="238">
        <f t="shared" si="120"/>
        <v>43292.117032973219</v>
      </c>
      <c r="AD17" s="238"/>
      <c r="AE17" s="238">
        <f t="shared" si="120"/>
        <v>44807.341129127279</v>
      </c>
      <c r="AF17" s="238"/>
      <c r="AG17" s="238">
        <f t="shared" si="120"/>
        <v>46375.59806864673</v>
      </c>
      <c r="AI17" s="238">
        <f t="shared" si="105"/>
        <v>47998.744001049359</v>
      </c>
      <c r="AK17" s="238">
        <f t="shared" si="106"/>
        <v>49678.700041086086</v>
      </c>
      <c r="AM17" s="238">
        <f t="shared" si="107"/>
        <v>51417.454542524094</v>
      </c>
      <c r="AO17" s="238">
        <f t="shared" si="108"/>
        <v>53217.065451512433</v>
      </c>
      <c r="AQ17" s="238">
        <f t="shared" si="109"/>
        <v>55079.662742315362</v>
      </c>
      <c r="AS17" s="238">
        <f t="shared" si="110"/>
        <v>57007.450938296395</v>
      </c>
      <c r="AU17" s="238">
        <f t="shared" si="111"/>
        <v>59002.711721136766</v>
      </c>
      <c r="AW17" s="238">
        <f t="shared" si="112"/>
        <v>61067.806631376545</v>
      </c>
      <c r="AY17" s="238">
        <f t="shared" si="113"/>
        <v>63205.179863474717</v>
      </c>
      <c r="BA17" s="238">
        <f t="shared" si="114"/>
        <v>65417.361158696331</v>
      </c>
      <c r="BC17" s="238">
        <f t="shared" si="115"/>
        <v>67706.968799250695</v>
      </c>
      <c r="BE17" s="238">
        <f t="shared" si="116"/>
        <v>70076.712707224462</v>
      </c>
      <c r="BG17" s="238">
        <f t="shared" si="117"/>
        <v>72529.397651977313</v>
      </c>
      <c r="BI17" s="238">
        <f t="shared" si="118"/>
        <v>75067.926569796517</v>
      </c>
      <c r="BK17" s="238">
        <f t="shared" si="119"/>
        <v>77695.303999739393</v>
      </c>
    </row>
    <row r="18" spans="1:63" s="225" customFormat="1" ht="14.25">
      <c r="A18" s="225" t="s">
        <v>854</v>
      </c>
      <c r="C18" s="249"/>
      <c r="E18" s="238">
        <f>Application!W862</f>
        <v>355944</v>
      </c>
      <c r="F18" s="238"/>
      <c r="G18" s="238">
        <f t="shared" si="120"/>
        <v>368402.04</v>
      </c>
      <c r="H18" s="238"/>
      <c r="I18" s="238">
        <f t="shared" si="120"/>
        <v>381296.11139999994</v>
      </c>
      <c r="J18" s="238"/>
      <c r="K18" s="238">
        <f t="shared" si="120"/>
        <v>394641.47529899993</v>
      </c>
      <c r="L18" s="238"/>
      <c r="M18" s="238">
        <f t="shared" si="120"/>
        <v>408453.92693446489</v>
      </c>
      <c r="N18" s="238"/>
      <c r="O18" s="238">
        <f t="shared" si="120"/>
        <v>422749.8143771711</v>
      </c>
      <c r="P18" s="238"/>
      <c r="Q18" s="238">
        <f t="shared" si="120"/>
        <v>437546.05788037204</v>
      </c>
      <c r="R18" s="238"/>
      <c r="S18" s="238">
        <f t="shared" si="120"/>
        <v>452860.16990618501</v>
      </c>
      <c r="T18" s="238"/>
      <c r="U18" s="238">
        <f t="shared" si="120"/>
        <v>468710.27585290145</v>
      </c>
      <c r="V18" s="238"/>
      <c r="W18" s="238">
        <f t="shared" si="120"/>
        <v>485115.13550775294</v>
      </c>
      <c r="X18" s="238"/>
      <c r="Y18" s="238">
        <f t="shared" si="120"/>
        <v>502094.16525052424</v>
      </c>
      <c r="Z18" s="238"/>
      <c r="AA18" s="238">
        <f t="shared" si="120"/>
        <v>519667.46103429253</v>
      </c>
      <c r="AB18" s="238"/>
      <c r="AC18" s="238">
        <f t="shared" si="120"/>
        <v>537855.82217049273</v>
      </c>
      <c r="AD18" s="238"/>
      <c r="AE18" s="238">
        <f t="shared" si="120"/>
        <v>556680.77594645997</v>
      </c>
      <c r="AF18" s="238"/>
      <c r="AG18" s="238">
        <f t="shared" si="120"/>
        <v>576164.60310458601</v>
      </c>
      <c r="AI18" s="238">
        <f t="shared" si="105"/>
        <v>596330.3642132465</v>
      </c>
      <c r="AK18" s="238">
        <f t="shared" si="106"/>
        <v>617201.92696071009</v>
      </c>
      <c r="AM18" s="238">
        <f t="shared" si="107"/>
        <v>638803.99440433492</v>
      </c>
      <c r="AO18" s="238">
        <f t="shared" si="108"/>
        <v>661162.13420848665</v>
      </c>
      <c r="AQ18" s="238">
        <f t="shared" si="109"/>
        <v>684302.80890578358</v>
      </c>
      <c r="AS18" s="238">
        <f t="shared" si="110"/>
        <v>708253.40721748595</v>
      </c>
      <c r="AU18" s="238">
        <f t="shared" si="111"/>
        <v>733042.27647009795</v>
      </c>
      <c r="AW18" s="238">
        <f t="shared" si="112"/>
        <v>758698.75614655134</v>
      </c>
      <c r="AY18" s="238">
        <f t="shared" si="113"/>
        <v>785253.21261168062</v>
      </c>
      <c r="BA18" s="238">
        <f t="shared" si="114"/>
        <v>812737.07505308941</v>
      </c>
      <c r="BC18" s="238">
        <f t="shared" si="115"/>
        <v>841182.87267994753</v>
      </c>
      <c r="BE18" s="238">
        <f t="shared" si="116"/>
        <v>870624.27322374564</v>
      </c>
      <c r="BG18" s="238">
        <f t="shared" si="117"/>
        <v>901096.12278657663</v>
      </c>
      <c r="BI18" s="238">
        <f t="shared" si="118"/>
        <v>932634.48708410678</v>
      </c>
      <c r="BK18" s="238">
        <f t="shared" si="119"/>
        <v>965276.69413205038</v>
      </c>
    </row>
    <row r="19" spans="1:63" s="225" customFormat="1" ht="14.25">
      <c r="A19" s="225" t="s">
        <v>155</v>
      </c>
      <c r="C19" s="249"/>
      <c r="E19" s="238">
        <f>Application!W863</f>
        <v>171900</v>
      </c>
      <c r="F19" s="238"/>
      <c r="G19" s="238">
        <f t="shared" si="120"/>
        <v>177916.5</v>
      </c>
      <c r="H19" s="238"/>
      <c r="I19" s="238">
        <f t="shared" si="120"/>
        <v>184143.57749999998</v>
      </c>
      <c r="J19" s="238"/>
      <c r="K19" s="238">
        <f t="shared" si="120"/>
        <v>190588.60271249997</v>
      </c>
      <c r="L19" s="238"/>
      <c r="M19" s="238">
        <f t="shared" si="120"/>
        <v>197259.20380743744</v>
      </c>
      <c r="N19" s="238"/>
      <c r="O19" s="238">
        <f t="shared" si="120"/>
        <v>204163.27594069773</v>
      </c>
      <c r="P19" s="238"/>
      <c r="Q19" s="238">
        <f t="shared" si="120"/>
        <v>211308.99059862213</v>
      </c>
      <c r="R19" s="238"/>
      <c r="S19" s="238">
        <f t="shared" si="120"/>
        <v>218704.80526957387</v>
      </c>
      <c r="T19" s="238"/>
      <c r="U19" s="238">
        <f t="shared" si="120"/>
        <v>226359.47345400896</v>
      </c>
      <c r="V19" s="238"/>
      <c r="W19" s="238">
        <f t="shared" si="120"/>
        <v>234282.05502489925</v>
      </c>
      <c r="X19" s="238"/>
      <c r="Y19" s="238">
        <f t="shared" si="120"/>
        <v>242481.92695077069</v>
      </c>
      <c r="Z19" s="238"/>
      <c r="AA19" s="238">
        <f t="shared" si="120"/>
        <v>250968.79439404764</v>
      </c>
      <c r="AB19" s="238"/>
      <c r="AC19" s="238">
        <f t="shared" si="120"/>
        <v>259752.70219783927</v>
      </c>
      <c r="AD19" s="238"/>
      <c r="AE19" s="238">
        <f t="shared" si="120"/>
        <v>268844.04677476361</v>
      </c>
      <c r="AF19" s="238"/>
      <c r="AG19" s="238">
        <f t="shared" si="120"/>
        <v>278253.58841188031</v>
      </c>
      <c r="AI19" s="238">
        <f t="shared" si="105"/>
        <v>287992.46400629607</v>
      </c>
      <c r="AK19" s="238">
        <f t="shared" si="106"/>
        <v>298072.20024651638</v>
      </c>
      <c r="AM19" s="238">
        <f t="shared" si="107"/>
        <v>308504.72725514445</v>
      </c>
      <c r="AO19" s="238">
        <f t="shared" si="108"/>
        <v>319302.39270907448</v>
      </c>
      <c r="AQ19" s="238">
        <f t="shared" si="109"/>
        <v>330477.97645389207</v>
      </c>
      <c r="AS19" s="238">
        <f t="shared" si="110"/>
        <v>342044.70562977827</v>
      </c>
      <c r="AU19" s="238">
        <f t="shared" si="111"/>
        <v>354016.27032682049</v>
      </c>
      <c r="AW19" s="238">
        <f t="shared" si="112"/>
        <v>366406.83978825918</v>
      </c>
      <c r="AY19" s="238">
        <f t="shared" si="113"/>
        <v>379231.0791808482</v>
      </c>
      <c r="BA19" s="238">
        <f t="shared" si="114"/>
        <v>392504.16695217788</v>
      </c>
      <c r="BC19" s="238">
        <f t="shared" si="115"/>
        <v>406241.81279550405</v>
      </c>
      <c r="BE19" s="238">
        <f t="shared" si="116"/>
        <v>420460.27624334669</v>
      </c>
      <c r="BG19" s="238">
        <f t="shared" si="117"/>
        <v>435176.38591186376</v>
      </c>
      <c r="BI19" s="238">
        <f t="shared" si="118"/>
        <v>450407.55941877898</v>
      </c>
      <c r="BK19" s="238">
        <f t="shared" si="119"/>
        <v>466171.82399843622</v>
      </c>
    </row>
    <row r="20" spans="1:63" s="225" customFormat="1" ht="14.25">
      <c r="A20" s="225" t="s">
        <v>391</v>
      </c>
      <c r="C20" s="249"/>
      <c r="E20" s="238">
        <f>Application!W872</f>
        <v>300825</v>
      </c>
      <c r="F20" s="238"/>
      <c r="G20" s="238">
        <f t="shared" si="120"/>
        <v>311353.875</v>
      </c>
      <c r="H20" s="238"/>
      <c r="I20" s="238">
        <f t="shared" si="120"/>
        <v>322251.260625</v>
      </c>
      <c r="J20" s="238"/>
      <c r="K20" s="238">
        <f t="shared" si="120"/>
        <v>333530.05474687496</v>
      </c>
      <c r="L20" s="238"/>
      <c r="M20" s="238">
        <f t="shared" si="120"/>
        <v>345203.60666301555</v>
      </c>
      <c r="N20" s="238"/>
      <c r="O20" s="238">
        <f t="shared" si="120"/>
        <v>357285.73289622104</v>
      </c>
      <c r="P20" s="238"/>
      <c r="Q20" s="238">
        <f t="shared" si="120"/>
        <v>369790.73354758875</v>
      </c>
      <c r="R20" s="238"/>
      <c r="S20" s="238">
        <f t="shared" si="120"/>
        <v>382733.40922175435</v>
      </c>
      <c r="T20" s="238"/>
      <c r="U20" s="238">
        <f t="shared" si="120"/>
        <v>396129.07854451571</v>
      </c>
      <c r="V20" s="238"/>
      <c r="W20" s="238">
        <f t="shared" si="120"/>
        <v>409993.59629357373</v>
      </c>
      <c r="X20" s="238"/>
      <c r="Y20" s="238">
        <f t="shared" si="120"/>
        <v>424343.37216384878</v>
      </c>
      <c r="Z20" s="238"/>
      <c r="AA20" s="238">
        <f t="shared" si="120"/>
        <v>439195.39018958347</v>
      </c>
      <c r="AB20" s="238"/>
      <c r="AC20" s="238">
        <f t="shared" si="120"/>
        <v>454567.22884621884</v>
      </c>
      <c r="AD20" s="238"/>
      <c r="AE20" s="238">
        <f t="shared" si="120"/>
        <v>470477.08185583644</v>
      </c>
      <c r="AF20" s="238"/>
      <c r="AG20" s="238">
        <f t="shared" si="120"/>
        <v>486943.77972079068</v>
      </c>
      <c r="AI20" s="238">
        <f t="shared" si="105"/>
        <v>503986.81201101834</v>
      </c>
      <c r="AK20" s="238">
        <f t="shared" si="106"/>
        <v>521626.35043140396</v>
      </c>
      <c r="AM20" s="238">
        <f t="shared" si="107"/>
        <v>539883.27269650309</v>
      </c>
      <c r="AO20" s="238">
        <f t="shared" si="108"/>
        <v>558779.18724088068</v>
      </c>
      <c r="AQ20" s="238">
        <f t="shared" si="109"/>
        <v>578336.4587943115</v>
      </c>
      <c r="AS20" s="238">
        <f t="shared" si="110"/>
        <v>598578.23485211236</v>
      </c>
      <c r="AU20" s="238">
        <f t="shared" si="111"/>
        <v>619528.47307193629</v>
      </c>
      <c r="AW20" s="238">
        <f t="shared" si="112"/>
        <v>641211.96962945396</v>
      </c>
      <c r="AY20" s="238">
        <f t="shared" si="113"/>
        <v>663654.38856648479</v>
      </c>
      <c r="BA20" s="238">
        <f t="shared" si="114"/>
        <v>686882.29216631176</v>
      </c>
      <c r="BC20" s="238">
        <f t="shared" si="115"/>
        <v>710923.17239213258</v>
      </c>
      <c r="BE20" s="238">
        <f t="shared" si="116"/>
        <v>735805.48342585715</v>
      </c>
      <c r="BG20" s="238">
        <f t="shared" si="117"/>
        <v>761558.67534576205</v>
      </c>
      <c r="BI20" s="238">
        <f t="shared" si="118"/>
        <v>788213.22898286371</v>
      </c>
      <c r="BK20" s="238">
        <f t="shared" si="119"/>
        <v>815800.69199726393</v>
      </c>
    </row>
    <row r="21" spans="1:63" s="225" customFormat="1" ht="14.25">
      <c r="A21" s="242" t="s">
        <v>982</v>
      </c>
      <c r="B21" s="242"/>
      <c r="C21" s="249"/>
      <c r="E21" s="248">
        <f>Application!W879</f>
        <v>0</v>
      </c>
      <c r="F21" s="238"/>
      <c r="G21" s="248">
        <f t="shared" si="120"/>
        <v>0</v>
      </c>
      <c r="H21" s="238"/>
      <c r="I21" s="248">
        <f t="shared" si="120"/>
        <v>0</v>
      </c>
      <c r="J21" s="238"/>
      <c r="K21" s="248">
        <f t="shared" si="120"/>
        <v>0</v>
      </c>
      <c r="L21" s="238"/>
      <c r="M21" s="248">
        <f t="shared" si="120"/>
        <v>0</v>
      </c>
      <c r="N21" s="238"/>
      <c r="O21" s="248">
        <f t="shared" si="120"/>
        <v>0</v>
      </c>
      <c r="P21" s="238"/>
      <c r="Q21" s="248">
        <f t="shared" si="120"/>
        <v>0</v>
      </c>
      <c r="R21" s="238"/>
      <c r="S21" s="248">
        <f t="shared" si="120"/>
        <v>0</v>
      </c>
      <c r="T21" s="238"/>
      <c r="U21" s="248">
        <f t="shared" si="120"/>
        <v>0</v>
      </c>
      <c r="V21" s="238"/>
      <c r="W21" s="248">
        <f t="shared" si="120"/>
        <v>0</v>
      </c>
      <c r="X21" s="238"/>
      <c r="Y21" s="248">
        <f t="shared" si="120"/>
        <v>0</v>
      </c>
      <c r="Z21" s="238"/>
      <c r="AA21" s="248">
        <f t="shared" si="120"/>
        <v>0</v>
      </c>
      <c r="AB21" s="238"/>
      <c r="AC21" s="248">
        <f t="shared" si="120"/>
        <v>0</v>
      </c>
      <c r="AD21" s="238"/>
      <c r="AE21" s="248">
        <f t="shared" si="120"/>
        <v>0</v>
      </c>
      <c r="AF21" s="238"/>
      <c r="AG21" s="248">
        <f t="shared" si="120"/>
        <v>0</v>
      </c>
      <c r="AI21" s="248">
        <f t="shared" si="105"/>
        <v>0</v>
      </c>
      <c r="AK21" s="248">
        <f t="shared" si="106"/>
        <v>0</v>
      </c>
      <c r="AM21" s="248">
        <f t="shared" si="107"/>
        <v>0</v>
      </c>
      <c r="AO21" s="248">
        <f t="shared" si="108"/>
        <v>0</v>
      </c>
      <c r="AQ21" s="248">
        <f t="shared" si="109"/>
        <v>0</v>
      </c>
      <c r="AS21" s="248">
        <f t="shared" si="110"/>
        <v>0</v>
      </c>
      <c r="AU21" s="248">
        <f t="shared" si="111"/>
        <v>0</v>
      </c>
      <c r="AW21" s="248">
        <f t="shared" si="112"/>
        <v>0</v>
      </c>
      <c r="AY21" s="248">
        <f t="shared" si="113"/>
        <v>0</v>
      </c>
      <c r="BA21" s="248">
        <f t="shared" si="114"/>
        <v>0</v>
      </c>
      <c r="BC21" s="248">
        <f t="shared" si="115"/>
        <v>0</v>
      </c>
      <c r="BE21" s="248">
        <f t="shared" si="116"/>
        <v>0</v>
      </c>
      <c r="BG21" s="248">
        <f t="shared" si="117"/>
        <v>0</v>
      </c>
      <c r="BI21" s="248">
        <f t="shared" si="118"/>
        <v>0</v>
      </c>
      <c r="BK21" s="248">
        <f t="shared" si="119"/>
        <v>0</v>
      </c>
    </row>
    <row r="22" spans="1:63" s="239" customFormat="1" ht="15">
      <c r="A22" s="239" t="s">
        <v>855</v>
      </c>
      <c r="C22" s="249"/>
      <c r="E22" s="239">
        <f>SUM(E15:E21)</f>
        <v>1068541</v>
      </c>
      <c r="G22" s="239">
        <f>SUM(G15:G21)</f>
        <v>1105939.9350000001</v>
      </c>
      <c r="I22" s="239">
        <f>SUM(I15:I21)</f>
        <v>1144647.8327249999</v>
      </c>
      <c r="K22" s="239">
        <f>SUM(K15:K21)</f>
        <v>1184710.5068703745</v>
      </c>
      <c r="M22" s="239">
        <f>SUM(M15:M21)</f>
        <v>1226175.3746108378</v>
      </c>
      <c r="O22" s="239">
        <f>SUM(O15:O21)</f>
        <v>1269091.512722217</v>
      </c>
      <c r="Q22" s="239">
        <f>SUM(Q15:Q21)</f>
        <v>1313509.7156674943</v>
      </c>
      <c r="S22" s="239">
        <f>SUM(S15:S21)</f>
        <v>1359482.5557158566</v>
      </c>
      <c r="U22" s="239">
        <f>SUM(U15:U21)</f>
        <v>1407064.4451659115</v>
      </c>
      <c r="W22" s="239">
        <f>SUM(W15:W21)</f>
        <v>1456311.7007467183</v>
      </c>
      <c r="Y22" s="239">
        <f>SUM(Y15:Y21)</f>
        <v>1507282.6102728532</v>
      </c>
      <c r="AA22" s="239">
        <f>SUM(AA15:AA21)</f>
        <v>1560037.5016324029</v>
      </c>
      <c r="AC22" s="239">
        <f>SUM(AC15:AC21)</f>
        <v>1614638.814189537</v>
      </c>
      <c r="AE22" s="239">
        <f>SUM(AE15:AE21)</f>
        <v>1671151.1726861708</v>
      </c>
      <c r="AG22" s="239">
        <f>SUM(AG15:AG21)</f>
        <v>1729641.4637301865</v>
      </c>
      <c r="AI22" s="239">
        <f t="shared" ref="AI22" si="121">SUM(AI15:AI21)</f>
        <v>1790178.9149607429</v>
      </c>
      <c r="AK22" s="239">
        <f t="shared" ref="AK22" si="122">SUM(AK15:AK21)</f>
        <v>1852835.1769843688</v>
      </c>
      <c r="AM22" s="239">
        <f t="shared" ref="AM22" si="123">SUM(AM15:AM21)</f>
        <v>1917684.4081788217</v>
      </c>
      <c r="AO22" s="239">
        <f t="shared" ref="AO22" si="124">SUM(AO15:AO21)</f>
        <v>1984803.3624650803</v>
      </c>
      <c r="AQ22" s="239">
        <f t="shared" ref="AQ22" si="125">SUM(AQ15:AQ21)</f>
        <v>2054271.4801513581</v>
      </c>
      <c r="AS22" s="239">
        <f t="shared" ref="AS22" si="126">SUM(AS15:AS21)</f>
        <v>2126170.9819566552</v>
      </c>
      <c r="AU22" s="239">
        <f t="shared" ref="AU22" si="127">SUM(AU15:AU21)</f>
        <v>2200586.9663251378</v>
      </c>
      <c r="AW22" s="239">
        <f t="shared" ref="AW22" si="128">SUM(AW15:AW21)</f>
        <v>2277607.5101465178</v>
      </c>
      <c r="AY22" s="239">
        <f t="shared" ref="AY22" si="129">SUM(AY15:AY21)</f>
        <v>2357323.7730016457</v>
      </c>
      <c r="BA22" s="239">
        <f t="shared" ref="BA22" si="130">SUM(BA15:BA21)</f>
        <v>2439830.1050567031</v>
      </c>
      <c r="BC22" s="239">
        <f t="shared" ref="BC22" si="131">SUM(BC15:BC21)</f>
        <v>2525224.1587336878</v>
      </c>
      <c r="BE22" s="239">
        <f t="shared" ref="BE22" si="132">SUM(BE15:BE21)</f>
        <v>2613607.0042893663</v>
      </c>
      <c r="BG22" s="239">
        <f t="shared" ref="BG22" si="133">SUM(BG15:BG21)</f>
        <v>2705083.2494394942</v>
      </c>
      <c r="BI22" s="239">
        <f t="shared" ref="BI22" si="134">SUM(BI15:BI21)</f>
        <v>2799761.1631698757</v>
      </c>
      <c r="BK22" s="239">
        <f t="shared" ref="BK22" si="135">SUM(BK15:BK21)</f>
        <v>2897752.8038808219</v>
      </c>
    </row>
    <row r="23" spans="1:6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I23" s="238"/>
      <c r="AK23" s="238"/>
      <c r="AM23" s="238"/>
      <c r="AO23" s="238"/>
      <c r="AQ23" s="238"/>
      <c r="AS23" s="238"/>
      <c r="AU23" s="238"/>
      <c r="AW23" s="238"/>
      <c r="AY23" s="238"/>
      <c r="BA23" s="238"/>
      <c r="BC23" s="238"/>
      <c r="BE23" s="238"/>
      <c r="BG23" s="238"/>
      <c r="BI23" s="238"/>
      <c r="BK23" s="238"/>
    </row>
    <row r="24" spans="1:6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c r="AI24" s="238">
        <f t="shared" ref="AI24" si="136">AG24*$C$24</f>
        <v>0</v>
      </c>
      <c r="AK24" s="238">
        <f t="shared" ref="AK24" si="137">AI24*$C$24</f>
        <v>0</v>
      </c>
      <c r="AM24" s="238">
        <f t="shared" ref="AM24" si="138">AK24*$C$24</f>
        <v>0</v>
      </c>
      <c r="AO24" s="238">
        <f t="shared" ref="AO24" si="139">AM24*$C$24</f>
        <v>0</v>
      </c>
      <c r="AQ24" s="238">
        <f t="shared" ref="AQ24" si="140">AO24*$C$24</f>
        <v>0</v>
      </c>
      <c r="AS24" s="238">
        <f t="shared" ref="AS24" si="141">AQ24*$C$24</f>
        <v>0</v>
      </c>
      <c r="AU24" s="238">
        <f t="shared" ref="AU24" si="142">AS24*$C$24</f>
        <v>0</v>
      </c>
      <c r="AW24" s="238">
        <f t="shared" ref="AW24" si="143">AU24*$C$24</f>
        <v>0</v>
      </c>
      <c r="AY24" s="238">
        <f t="shared" ref="AY24" si="144">AW24*$C$24</f>
        <v>0</v>
      </c>
      <c r="BA24" s="238">
        <f t="shared" ref="BA24" si="145">AY24*$C$24</f>
        <v>0</v>
      </c>
      <c r="BC24" s="238">
        <f t="shared" ref="BC24" si="146">BA24*$C$24</f>
        <v>0</v>
      </c>
      <c r="BE24" s="238">
        <f t="shared" ref="BE24" si="147">BC24*$C$24</f>
        <v>0</v>
      </c>
      <c r="BG24" s="238">
        <f t="shared" ref="BG24" si="148">BE24*$C$24</f>
        <v>0</v>
      </c>
      <c r="BI24" s="238">
        <f t="shared" ref="BI24" si="149">BG24*$C$24</f>
        <v>0</v>
      </c>
      <c r="BK24" s="238">
        <f t="shared" ref="BK24" si="150">BI24*$C$24</f>
        <v>0</v>
      </c>
    </row>
    <row r="25" spans="1:6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I25" s="238"/>
      <c r="AK25" s="238"/>
      <c r="AM25" s="238"/>
      <c r="AO25" s="238"/>
      <c r="AQ25" s="238"/>
      <c r="AS25" s="238"/>
      <c r="AU25" s="238"/>
      <c r="AW25" s="238"/>
      <c r="AY25" s="238"/>
      <c r="BA25" s="238"/>
      <c r="BC25" s="238"/>
      <c r="BE25" s="238"/>
      <c r="BG25" s="238"/>
      <c r="BI25" s="238"/>
      <c r="BK25" s="238"/>
    </row>
    <row r="26" spans="1:6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c r="AI26" s="238">
        <f t="shared" ref="AI26" si="151">AG26*$C$26</f>
        <v>0</v>
      </c>
      <c r="AK26" s="238">
        <f t="shared" ref="AK26" si="152">AI26*$C$26</f>
        <v>0</v>
      </c>
      <c r="AM26" s="238">
        <f t="shared" ref="AM26" si="153">AK26*$C$26</f>
        <v>0</v>
      </c>
      <c r="AO26" s="238">
        <f t="shared" ref="AO26" si="154">AM26*$C$26</f>
        <v>0</v>
      </c>
      <c r="AQ26" s="238">
        <f t="shared" ref="AQ26" si="155">AO26*$C$26</f>
        <v>0</v>
      </c>
      <c r="AS26" s="238">
        <f t="shared" ref="AS26" si="156">AQ26*$C$26</f>
        <v>0</v>
      </c>
      <c r="AU26" s="238">
        <f t="shared" ref="AU26" si="157">AS26*$C$26</f>
        <v>0</v>
      </c>
      <c r="AW26" s="238">
        <f t="shared" ref="AW26" si="158">AU26*$C$26</f>
        <v>0</v>
      </c>
      <c r="AY26" s="238">
        <f t="shared" ref="AY26" si="159">AW26*$C$26</f>
        <v>0</v>
      </c>
      <c r="BA26" s="238">
        <f t="shared" ref="BA26" si="160">AY26*$C$26</f>
        <v>0</v>
      </c>
      <c r="BC26" s="238">
        <f t="shared" ref="BC26" si="161">BA26*$C$26</f>
        <v>0</v>
      </c>
      <c r="BE26" s="238">
        <f t="shared" ref="BE26" si="162">BC26*$C$26</f>
        <v>0</v>
      </c>
      <c r="BG26" s="238">
        <f t="shared" ref="BG26" si="163">BE26*$C$26</f>
        <v>0</v>
      </c>
      <c r="BI26" s="238">
        <f t="shared" ref="BI26" si="164">BG26*$C$26</f>
        <v>0</v>
      </c>
      <c r="BK26" s="238">
        <f t="shared" ref="BK26" si="165">BI26*$C$26</f>
        <v>0</v>
      </c>
    </row>
    <row r="27" spans="1:63" s="225" customFormat="1" ht="14.25">
      <c r="A27" s="225" t="s">
        <v>857</v>
      </c>
      <c r="C27" s="253">
        <v>1.0349999999999999</v>
      </c>
      <c r="E27" s="238">
        <f>Application!AC888</f>
        <v>33240</v>
      </c>
      <c r="F27" s="238"/>
      <c r="G27" s="238">
        <f>E27*$C$27</f>
        <v>34403.399999999994</v>
      </c>
      <c r="H27" s="238"/>
      <c r="I27" s="238">
        <f>G27*$C$27</f>
        <v>35607.518999999993</v>
      </c>
      <c r="J27" s="238"/>
      <c r="K27" s="238">
        <f>I27*$C$27</f>
        <v>36853.78216499999</v>
      </c>
      <c r="L27" s="238"/>
      <c r="M27" s="238">
        <f>K27*$C$27</f>
        <v>38143.664540774989</v>
      </c>
      <c r="N27" s="238"/>
      <c r="O27" s="238">
        <f>M27*$C$27</f>
        <v>39478.692799702112</v>
      </c>
      <c r="P27" s="238"/>
      <c r="Q27" s="238">
        <f>O27*$C$27</f>
        <v>40860.447047691683</v>
      </c>
      <c r="R27" s="238"/>
      <c r="S27" s="238">
        <f>Q27*$C$27</f>
        <v>42290.562694360888</v>
      </c>
      <c r="T27" s="238"/>
      <c r="U27" s="238">
        <f>S27*$C$27</f>
        <v>43770.732388663513</v>
      </c>
      <c r="V27" s="238"/>
      <c r="W27" s="238">
        <f>U27*$C$27</f>
        <v>45302.708022266735</v>
      </c>
      <c r="X27" s="238"/>
      <c r="Y27" s="238">
        <f>W27*$C$27</f>
        <v>46888.30280304607</v>
      </c>
      <c r="Z27" s="238"/>
      <c r="AA27" s="238">
        <f>Y27*$C$27</f>
        <v>48529.39340115268</v>
      </c>
      <c r="AB27" s="238"/>
      <c r="AC27" s="238">
        <f>AA27*$C$27</f>
        <v>50227.922170193022</v>
      </c>
      <c r="AD27" s="238"/>
      <c r="AE27" s="238">
        <f>AC27*$C$27</f>
        <v>51985.899446149771</v>
      </c>
      <c r="AF27" s="238"/>
      <c r="AG27" s="238">
        <f>AE27*$C$27</f>
        <v>53805.405926765008</v>
      </c>
      <c r="AI27" s="238">
        <f t="shared" ref="AI27" si="166">AG27*$C$27</f>
        <v>55688.59513420178</v>
      </c>
      <c r="AK27" s="238">
        <f t="shared" ref="AK27" si="167">AI27*$C$27</f>
        <v>57637.695963898841</v>
      </c>
      <c r="AM27" s="238">
        <f t="shared" ref="AM27" si="168">AK27*$C$27</f>
        <v>59655.015322635292</v>
      </c>
      <c r="AO27" s="238">
        <f t="shared" ref="AO27" si="169">AM27*$C$27</f>
        <v>61742.940858927526</v>
      </c>
      <c r="AQ27" s="238">
        <f t="shared" ref="AQ27" si="170">AO27*$C$27</f>
        <v>63903.943788989985</v>
      </c>
      <c r="AS27" s="238">
        <f t="shared" ref="AS27" si="171">AQ27*$C$27</f>
        <v>66140.581821604632</v>
      </c>
      <c r="AU27" s="238">
        <f t="shared" ref="AU27" si="172">AS27*$C$27</f>
        <v>68455.50218536079</v>
      </c>
      <c r="AW27" s="238">
        <f t="shared" ref="AW27" si="173">AU27*$C$27</f>
        <v>70851.444761848412</v>
      </c>
      <c r="AY27" s="238">
        <f t="shared" ref="AY27" si="174">AW27*$C$27</f>
        <v>73331.245328513105</v>
      </c>
      <c r="BA27" s="238">
        <f t="shared" ref="BA27" si="175">AY27*$C$27</f>
        <v>75897.83891501106</v>
      </c>
      <c r="BC27" s="238">
        <f t="shared" ref="BC27" si="176">BA27*$C$27</f>
        <v>78554.263277036443</v>
      </c>
      <c r="BE27" s="238">
        <f t="shared" ref="BE27" si="177">BC27*$C$27</f>
        <v>81303.662491732714</v>
      </c>
      <c r="BG27" s="238">
        <f t="shared" ref="BG27" si="178">BE27*$C$27</f>
        <v>84149.290678943347</v>
      </c>
      <c r="BI27" s="238">
        <f t="shared" ref="BI27" si="179">BG27*$C$27</f>
        <v>87094.515852706361</v>
      </c>
      <c r="BK27" s="238">
        <f t="shared" ref="BK27" si="180">BI27*$C$27</f>
        <v>90142.823907551079</v>
      </c>
    </row>
    <row r="28" spans="1:63" s="225" customFormat="1" ht="14.25">
      <c r="A28" s="225" t="s">
        <v>858</v>
      </c>
      <c r="C28" s="253"/>
      <c r="E28" s="238">
        <f>Application!AC889</f>
        <v>47750</v>
      </c>
      <c r="F28" s="238"/>
      <c r="G28" s="238">
        <f>$E$28</f>
        <v>47750</v>
      </c>
      <c r="H28" s="238"/>
      <c r="I28" s="238">
        <f>$E$28</f>
        <v>47750</v>
      </c>
      <c r="J28" s="238"/>
      <c r="K28" s="238">
        <f>$E$28</f>
        <v>47750</v>
      </c>
      <c r="L28" s="238"/>
      <c r="M28" s="238">
        <f>$E$28</f>
        <v>47750</v>
      </c>
      <c r="N28" s="238"/>
      <c r="O28" s="238">
        <f>$E$28</f>
        <v>47750</v>
      </c>
      <c r="P28" s="238"/>
      <c r="Q28" s="238">
        <f>$E$28</f>
        <v>47750</v>
      </c>
      <c r="R28" s="238"/>
      <c r="S28" s="238">
        <f>$E$28</f>
        <v>47750</v>
      </c>
      <c r="T28" s="238"/>
      <c r="U28" s="238">
        <f>$E$28</f>
        <v>47750</v>
      </c>
      <c r="V28" s="238"/>
      <c r="W28" s="238">
        <f>$E$28</f>
        <v>47750</v>
      </c>
      <c r="X28" s="238"/>
      <c r="Y28" s="238">
        <f>$E$28</f>
        <v>47750</v>
      </c>
      <c r="Z28" s="238"/>
      <c r="AA28" s="238">
        <f>$E$28</f>
        <v>47750</v>
      </c>
      <c r="AB28" s="238"/>
      <c r="AC28" s="238">
        <f>$E$28</f>
        <v>47750</v>
      </c>
      <c r="AD28" s="238"/>
      <c r="AE28" s="238">
        <f>$E$28</f>
        <v>47750</v>
      </c>
      <c r="AF28" s="238"/>
      <c r="AG28" s="238">
        <f>$E$28</f>
        <v>47750</v>
      </c>
      <c r="AI28" s="238">
        <f t="shared" ref="AI28" si="181">$E$28</f>
        <v>47750</v>
      </c>
      <c r="AK28" s="238">
        <f t="shared" ref="AK28" si="182">$E$28</f>
        <v>47750</v>
      </c>
      <c r="AM28" s="238">
        <f t="shared" ref="AM28" si="183">$E$28</f>
        <v>47750</v>
      </c>
      <c r="AO28" s="238">
        <f t="shared" ref="AO28" si="184">$E$28</f>
        <v>47750</v>
      </c>
      <c r="AQ28" s="238">
        <f t="shared" ref="AQ28" si="185">$E$28</f>
        <v>47750</v>
      </c>
      <c r="AS28" s="238">
        <f t="shared" ref="AS28" si="186">$E$28</f>
        <v>47750</v>
      </c>
      <c r="AU28" s="238">
        <f t="shared" ref="AU28" si="187">$E$28</f>
        <v>47750</v>
      </c>
      <c r="AW28" s="238">
        <f t="shared" ref="AW28" si="188">$E$28</f>
        <v>47750</v>
      </c>
      <c r="AY28" s="238">
        <f t="shared" ref="AY28" si="189">$E$28</f>
        <v>47750</v>
      </c>
      <c r="BA28" s="238">
        <f t="shared" ref="BA28" si="190">$E$28</f>
        <v>47750</v>
      </c>
      <c r="BC28" s="238">
        <f t="shared" ref="BC28:BK28" si="191">$E$28</f>
        <v>47750</v>
      </c>
      <c r="BE28" s="238">
        <f t="shared" si="191"/>
        <v>47750</v>
      </c>
      <c r="BG28" s="238">
        <f t="shared" si="191"/>
        <v>47750</v>
      </c>
      <c r="BI28" s="238">
        <f t="shared" si="191"/>
        <v>47750</v>
      </c>
      <c r="BK28" s="238">
        <f t="shared" si="191"/>
        <v>47750</v>
      </c>
    </row>
    <row r="29" spans="1:6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c r="AI29" s="238">
        <f t="shared" ref="AI29" si="192">$E$29</f>
        <v>0</v>
      </c>
      <c r="AK29" s="238">
        <f t="shared" ref="AK29" si="193">$E$29</f>
        <v>0</v>
      </c>
      <c r="AM29" s="238">
        <f t="shared" ref="AM29" si="194">$E$29</f>
        <v>0</v>
      </c>
      <c r="AO29" s="238">
        <f t="shared" ref="AO29" si="195">$E$29</f>
        <v>0</v>
      </c>
      <c r="AQ29" s="238">
        <f t="shared" ref="AQ29" si="196">$E$29</f>
        <v>0</v>
      </c>
      <c r="AS29" s="238">
        <f t="shared" ref="AS29" si="197">$E$29</f>
        <v>0</v>
      </c>
      <c r="AU29" s="238">
        <f t="shared" ref="AU29" si="198">$E$29</f>
        <v>0</v>
      </c>
      <c r="AW29" s="238">
        <f t="shared" ref="AW29" si="199">$E$29</f>
        <v>0</v>
      </c>
      <c r="AY29" s="238">
        <f t="shared" ref="AY29" si="200">$E$29</f>
        <v>0</v>
      </c>
      <c r="BA29" s="238">
        <f t="shared" ref="BA29" si="201">$E$29</f>
        <v>0</v>
      </c>
      <c r="BC29" s="238">
        <f t="shared" ref="BC29:BK29" si="202">$E$29</f>
        <v>0</v>
      </c>
      <c r="BE29" s="238">
        <f t="shared" si="202"/>
        <v>0</v>
      </c>
      <c r="BG29" s="238">
        <f t="shared" si="202"/>
        <v>0</v>
      </c>
      <c r="BI29" s="238">
        <f t="shared" si="202"/>
        <v>0</v>
      </c>
      <c r="BK29" s="238">
        <f t="shared" si="202"/>
        <v>0</v>
      </c>
    </row>
    <row r="30" spans="1:6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c r="AI30" s="238">
        <f t="shared" ref="AI30" si="203">AG30*$C$30</f>
        <v>0</v>
      </c>
      <c r="AK30" s="238">
        <f t="shared" ref="AK30" si="204">AI30*$C$30</f>
        <v>0</v>
      </c>
      <c r="AM30" s="238">
        <f t="shared" ref="AM30" si="205">AK30*$C$30</f>
        <v>0</v>
      </c>
      <c r="AO30" s="238">
        <f t="shared" ref="AO30" si="206">AM30*$C$30</f>
        <v>0</v>
      </c>
      <c r="AQ30" s="238">
        <f t="shared" ref="AQ30" si="207">AO30*$C$30</f>
        <v>0</v>
      </c>
      <c r="AS30" s="238">
        <f t="shared" ref="AS30" si="208">AQ30*$C$30</f>
        <v>0</v>
      </c>
      <c r="AU30" s="238">
        <f t="shared" ref="AU30" si="209">AS30*$C$30</f>
        <v>0</v>
      </c>
      <c r="AW30" s="238">
        <f t="shared" ref="AW30" si="210">AU30*$C$30</f>
        <v>0</v>
      </c>
      <c r="AY30" s="238">
        <f t="shared" ref="AY30" si="211">AW30*$C$30</f>
        <v>0</v>
      </c>
      <c r="BA30" s="238">
        <f t="shared" ref="BA30" si="212">AY30*$C$30</f>
        <v>0</v>
      </c>
      <c r="BC30" s="238">
        <f t="shared" ref="BC30" si="213">BA30*$C$30</f>
        <v>0</v>
      </c>
      <c r="BE30" s="238">
        <f t="shared" ref="BE30" si="214">BC30*$C$30</f>
        <v>0</v>
      </c>
      <c r="BG30" s="238">
        <f t="shared" ref="BG30" si="215">BE30*$C$30</f>
        <v>0</v>
      </c>
      <c r="BI30" s="238">
        <f t="shared" ref="BI30" si="216">BG30*$C$30</f>
        <v>0</v>
      </c>
      <c r="BK30" s="238">
        <f t="shared" ref="BK30" si="217">BI30*$C$30</f>
        <v>0</v>
      </c>
    </row>
    <row r="31" spans="1:6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c r="AI31" s="238">
        <f t="shared" ref="AI31" si="218">AG31*$C$31</f>
        <v>0</v>
      </c>
      <c r="AK31" s="238">
        <f t="shared" ref="AK31" si="219">AI31*$C$31</f>
        <v>0</v>
      </c>
      <c r="AM31" s="238">
        <f t="shared" ref="AM31" si="220">AK31*$C$31</f>
        <v>0</v>
      </c>
      <c r="AO31" s="238">
        <f t="shared" ref="AO31" si="221">AM31*$C$31</f>
        <v>0</v>
      </c>
      <c r="AQ31" s="238">
        <f t="shared" ref="AQ31" si="222">AO31*$C$31</f>
        <v>0</v>
      </c>
      <c r="AS31" s="238">
        <f t="shared" ref="AS31" si="223">AQ31*$C$31</f>
        <v>0</v>
      </c>
      <c r="AU31" s="238">
        <f t="shared" ref="AU31" si="224">AS31*$C$31</f>
        <v>0</v>
      </c>
      <c r="AW31" s="238">
        <f t="shared" ref="AW31" si="225">AU31*$C$31</f>
        <v>0</v>
      </c>
      <c r="AY31" s="238">
        <f t="shared" ref="AY31" si="226">AW31*$C$31</f>
        <v>0</v>
      </c>
      <c r="BA31" s="238">
        <f t="shared" ref="BA31" si="227">AY31*$C$31</f>
        <v>0</v>
      </c>
      <c r="BC31" s="238">
        <f t="shared" ref="BC31" si="228">BA31*$C$31</f>
        <v>0</v>
      </c>
      <c r="BE31" s="238">
        <f t="shared" ref="BE31" si="229">BC31*$C$31</f>
        <v>0</v>
      </c>
      <c r="BG31" s="238">
        <f t="shared" ref="BG31" si="230">BE31*$C$31</f>
        <v>0</v>
      </c>
      <c r="BI31" s="238">
        <f t="shared" ref="BI31" si="231">BG31*$C$31</f>
        <v>0</v>
      </c>
      <c r="BK31" s="238">
        <f t="shared" ref="BK31" si="232">BI31*$C$31</f>
        <v>0</v>
      </c>
    </row>
    <row r="32" spans="1:6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c r="AI32" s="238">
        <f t="shared" ref="AI32" si="233">AG32*$C$32</f>
        <v>0</v>
      </c>
      <c r="AK32" s="238">
        <f t="shared" ref="AK32" si="234">AI32*$C$32</f>
        <v>0</v>
      </c>
      <c r="AM32" s="238">
        <f t="shared" ref="AM32" si="235">AK32*$C$32</f>
        <v>0</v>
      </c>
      <c r="AO32" s="238">
        <f t="shared" ref="AO32" si="236">AM32*$C$32</f>
        <v>0</v>
      </c>
      <c r="AQ32" s="238">
        <f t="shared" ref="AQ32" si="237">AO32*$C$32</f>
        <v>0</v>
      </c>
      <c r="AS32" s="238">
        <f t="shared" ref="AS32" si="238">AQ32*$C$32</f>
        <v>0</v>
      </c>
      <c r="AU32" s="238">
        <f t="shared" ref="AU32" si="239">AS32*$C$32</f>
        <v>0</v>
      </c>
      <c r="AW32" s="238">
        <f t="shared" ref="AW32" si="240">AU32*$C$32</f>
        <v>0</v>
      </c>
      <c r="AY32" s="238">
        <f t="shared" ref="AY32" si="241">AW32*$C$32</f>
        <v>0</v>
      </c>
      <c r="BA32" s="238">
        <f t="shared" ref="BA32" si="242">AY32*$C$32</f>
        <v>0</v>
      </c>
      <c r="BC32" s="238">
        <f t="shared" ref="BC32" si="243">BA32*$C$32</f>
        <v>0</v>
      </c>
      <c r="BE32" s="238">
        <f t="shared" ref="BE32" si="244">BC32*$C$32</f>
        <v>0</v>
      </c>
      <c r="BG32" s="238">
        <f t="shared" ref="BG32" si="245">BE32*$C$32</f>
        <v>0</v>
      </c>
      <c r="BI32" s="238">
        <f t="shared" ref="BI32" si="246">BG32*$C$32</f>
        <v>0</v>
      </c>
      <c r="BK32" s="238">
        <f t="shared" ref="BK32" si="247">BI32*$C$32</f>
        <v>0</v>
      </c>
    </row>
    <row r="33" spans="1:6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c r="AI33" s="238">
        <f t="shared" ref="AI33" si="248">AG33*$C$33</f>
        <v>0</v>
      </c>
      <c r="AK33" s="238">
        <f t="shared" ref="AK33" si="249">AI33*$C$33</f>
        <v>0</v>
      </c>
      <c r="AM33" s="238">
        <f t="shared" ref="AM33" si="250">AK33*$C$33</f>
        <v>0</v>
      </c>
      <c r="AO33" s="238">
        <f t="shared" ref="AO33" si="251">AM33*$C$33</f>
        <v>0</v>
      </c>
      <c r="AQ33" s="238">
        <f t="shared" ref="AQ33" si="252">AO33*$C$33</f>
        <v>0</v>
      </c>
      <c r="AS33" s="238">
        <f t="shared" ref="AS33" si="253">AQ33*$C$33</f>
        <v>0</v>
      </c>
      <c r="AU33" s="238">
        <f t="shared" ref="AU33" si="254">AS33*$C$33</f>
        <v>0</v>
      </c>
      <c r="AW33" s="238">
        <f t="shared" ref="AW33" si="255">AU33*$C$33</f>
        <v>0</v>
      </c>
      <c r="AY33" s="238">
        <f t="shared" ref="AY33" si="256">AW33*$C$33</f>
        <v>0</v>
      </c>
      <c r="BA33" s="238">
        <f t="shared" ref="BA33" si="257">AY33*$C$33</f>
        <v>0</v>
      </c>
      <c r="BC33" s="238">
        <f t="shared" ref="BC33" si="258">BA33*$C$33</f>
        <v>0</v>
      </c>
      <c r="BE33" s="238">
        <f t="shared" ref="BE33" si="259">BC33*$C$33</f>
        <v>0</v>
      </c>
      <c r="BG33" s="238">
        <f t="shared" ref="BG33" si="260">BE33*$C$33</f>
        <v>0</v>
      </c>
      <c r="BI33" s="238">
        <f t="shared" ref="BI33" si="261">BG33*$C$33</f>
        <v>0</v>
      </c>
      <c r="BK33" s="238">
        <f t="shared" ref="BK33" si="262">BI33*$C$33</f>
        <v>0</v>
      </c>
    </row>
    <row r="34" spans="1:6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I34" s="238"/>
      <c r="AK34" s="238"/>
      <c r="AM34" s="238"/>
      <c r="AO34" s="238"/>
      <c r="AQ34" s="238"/>
      <c r="AS34" s="238"/>
      <c r="AU34" s="238"/>
      <c r="AW34" s="238"/>
      <c r="AY34" s="238"/>
      <c r="BA34" s="238"/>
      <c r="BC34" s="238"/>
      <c r="BE34" s="238"/>
      <c r="BG34" s="238"/>
      <c r="BI34" s="238"/>
      <c r="BK34" s="238"/>
    </row>
    <row r="35" spans="1:63" s="239" customFormat="1" ht="15">
      <c r="A35" s="239" t="s">
        <v>178</v>
      </c>
      <c r="C35" s="240"/>
      <c r="E35" s="239">
        <f>SUM(E22:E33)</f>
        <v>1149531</v>
      </c>
      <c r="G35" s="239">
        <f>SUM(G22:G33)</f>
        <v>1188093.335</v>
      </c>
      <c r="I35" s="239">
        <f>SUM(I22:I33)</f>
        <v>1228005.351725</v>
      </c>
      <c r="K35" s="239">
        <f>SUM(K22:K33)</f>
        <v>1269314.2890353745</v>
      </c>
      <c r="M35" s="239">
        <f>SUM(M22:M33)</f>
        <v>1312069.0391516127</v>
      </c>
      <c r="O35" s="239">
        <f>SUM(O22:O33)</f>
        <v>1356320.2055219191</v>
      </c>
      <c r="Q35" s="239">
        <f>SUM(Q22:Q33)</f>
        <v>1402120.1627151861</v>
      </c>
      <c r="S35" s="239">
        <f>SUM(S22:S33)</f>
        <v>1449523.1184102176</v>
      </c>
      <c r="U35" s="239">
        <f>SUM(U22:U33)</f>
        <v>1498585.177554575</v>
      </c>
      <c r="W35" s="239">
        <f>SUM(W22:W33)</f>
        <v>1549364.408768985</v>
      </c>
      <c r="Y35" s="239">
        <f>SUM(Y22:Y33)</f>
        <v>1601920.9130758992</v>
      </c>
      <c r="AA35" s="239">
        <f>SUM(AA22:AA33)</f>
        <v>1656316.8950335556</v>
      </c>
      <c r="AC35" s="239">
        <f>SUM(AC22:AC33)</f>
        <v>1712616.7363597299</v>
      </c>
      <c r="AE35" s="239">
        <f>SUM(AE22:AE33)</f>
        <v>1770887.0721323206</v>
      </c>
      <c r="AG35" s="239">
        <f>SUM(AG22:AG33)</f>
        <v>1831196.8696569514</v>
      </c>
      <c r="AI35" s="239">
        <f t="shared" ref="AI35" si="263">SUM(AI22:AI33)</f>
        <v>1893617.5100949446</v>
      </c>
      <c r="AK35" s="239">
        <f t="shared" ref="AK35" si="264">SUM(AK22:AK33)</f>
        <v>1958222.8729482677</v>
      </c>
      <c r="AM35" s="239">
        <f t="shared" ref="AM35" si="265">SUM(AM22:AM33)</f>
        <v>2025089.4235014569</v>
      </c>
      <c r="AO35" s="239">
        <f t="shared" ref="AO35" si="266">SUM(AO22:AO33)</f>
        <v>2094296.3033240079</v>
      </c>
      <c r="AQ35" s="239">
        <f t="shared" ref="AQ35" si="267">SUM(AQ22:AQ33)</f>
        <v>2165925.423940348</v>
      </c>
      <c r="AS35" s="239">
        <f t="shared" ref="AS35" si="268">SUM(AS22:AS33)</f>
        <v>2240061.5637782598</v>
      </c>
      <c r="AU35" s="239">
        <f t="shared" ref="AU35" si="269">SUM(AU22:AU33)</f>
        <v>2316792.4685104988</v>
      </c>
      <c r="AW35" s="239">
        <f t="shared" ref="AW35" si="270">SUM(AW22:AW33)</f>
        <v>2396208.9549083663</v>
      </c>
      <c r="AY35" s="239">
        <f t="shared" ref="AY35" si="271">SUM(AY22:AY33)</f>
        <v>2478405.0183301587</v>
      </c>
      <c r="BA35" s="239">
        <f t="shared" ref="BA35" si="272">SUM(BA22:BA33)</f>
        <v>2563477.943971714</v>
      </c>
      <c r="BC35" s="239">
        <f t="shared" ref="BC35" si="273">SUM(BC22:BC33)</f>
        <v>2651528.4220107244</v>
      </c>
      <c r="BE35" s="239">
        <f t="shared" ref="BE35" si="274">SUM(BE22:BE33)</f>
        <v>2742660.666781099</v>
      </c>
      <c r="BG35" s="239">
        <f t="shared" ref="BG35" si="275">SUM(BG22:BG33)</f>
        <v>2836982.5401184377</v>
      </c>
      <c r="BI35" s="239">
        <f t="shared" ref="BI35" si="276">SUM(BI22:BI33)</f>
        <v>2934605.6790225822</v>
      </c>
      <c r="BK35" s="239">
        <f t="shared" ref="BK35" si="277">SUM(BK22:BK33)</f>
        <v>3035645.6277883728</v>
      </c>
    </row>
    <row r="36" spans="1:6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I36" s="238"/>
      <c r="AK36" s="238"/>
      <c r="AM36" s="238"/>
      <c r="AO36" s="238"/>
      <c r="AQ36" s="238"/>
      <c r="AS36" s="238"/>
      <c r="AU36" s="238"/>
      <c r="AW36" s="238"/>
      <c r="AY36" s="238"/>
      <c r="BA36" s="238"/>
      <c r="BC36" s="238"/>
      <c r="BE36" s="238"/>
      <c r="BG36" s="238"/>
      <c r="BI36" s="238"/>
      <c r="BK36" s="238"/>
    </row>
    <row r="37" spans="1:63" s="239" customFormat="1" ht="15">
      <c r="A37" s="239" t="s">
        <v>859</v>
      </c>
      <c r="C37" s="240"/>
      <c r="E37" s="239">
        <f>E11-E35</f>
        <v>2346419.6</v>
      </c>
      <c r="G37" s="239">
        <f>G11-G35</f>
        <v>2395256.0299999993</v>
      </c>
      <c r="I37" s="239">
        <f>I11-I35</f>
        <v>2444927.7473999993</v>
      </c>
      <c r="K37" s="239">
        <f>K11-K35</f>
        <v>2495442.1375677492</v>
      </c>
      <c r="M37" s="239">
        <f>M11-M35</f>
        <v>2546806.2981165885</v>
      </c>
      <c r="O37" s="239">
        <f>O11-O35</f>
        <v>2599027.0151779866</v>
      </c>
      <c r="Q37" s="239">
        <f>Q11-Q35</f>
        <v>2652110.7385022165</v>
      </c>
      <c r="S37" s="239">
        <f>S11-S35</f>
        <v>2706063.5553376204</v>
      </c>
      <c r="U37" s="239">
        <f>U11-U35</f>
        <v>2760891.1630369592</v>
      </c>
      <c r="W37" s="239">
        <f>W11-W35</f>
        <v>2816598.8403373365</v>
      </c>
      <c r="Y37" s="239">
        <f>Y11-Y35</f>
        <v>2873191.4172580796</v>
      </c>
      <c r="AA37" s="239">
        <f>AA11-AA35</f>
        <v>2930673.2435587733</v>
      </c>
      <c r="AC37" s="239">
        <f>AC11-AC35</f>
        <v>2989048.1556974058</v>
      </c>
      <c r="AE37" s="239">
        <f>AE11-AE35</f>
        <v>3048319.4422262437</v>
      </c>
      <c r="AG37" s="239">
        <f>AG11-AG35</f>
        <v>3108489.8075605761</v>
      </c>
      <c r="AI37" s="239">
        <f t="shared" ref="AI37" si="278">AI11-AI35</f>
        <v>3169561.3340530209</v>
      </c>
      <c r="AK37" s="239">
        <f t="shared" ref="AK37" si="279">AK11-AK35</f>
        <v>3231535.4423033958</v>
      </c>
      <c r="AM37" s="239">
        <f t="shared" ref="AM37" si="280">AM11-AM35</f>
        <v>3294412.8496314967</v>
      </c>
      <c r="AO37" s="239">
        <f t="shared" ref="AO37" si="281">AO11-AO35</f>
        <v>3358193.5266372696</v>
      </c>
      <c r="AQ37" s="239">
        <f t="shared" ref="AQ37" si="282">AQ11-AQ35</f>
        <v>3422876.6517699617</v>
      </c>
      <c r="AS37" s="239">
        <f t="shared" ref="AS37" si="283">AS11-AS35</f>
        <v>3488460.5638248064</v>
      </c>
      <c r="AU37" s="239">
        <f t="shared" ref="AU37" si="284">AU11-AU35</f>
        <v>3554942.7122826432</v>
      </c>
      <c r="AW37" s="239">
        <f t="shared" ref="AW37" si="285">AW11-AW35</f>
        <v>3622319.6054046052</v>
      </c>
      <c r="AY37" s="239">
        <f t="shared" ref="AY37" si="286">AY11-AY35</f>
        <v>3690586.7559906365</v>
      </c>
      <c r="BA37" s="239">
        <f t="shared" ref="BA37" si="287">BA11-BA35</f>
        <v>3759738.6247070991</v>
      </c>
      <c r="BC37" s="239">
        <f t="shared" ref="BC37" si="288">BC11-BC35</f>
        <v>3829768.5608850587</v>
      </c>
      <c r="BE37" s="239">
        <f t="shared" ref="BE37" si="289">BE11-BE35</f>
        <v>3900668.7406870793</v>
      </c>
      <c r="BG37" s="239">
        <f t="shared" ref="BG37" si="290">BG11-BG35</f>
        <v>3972430.102536445</v>
      </c>
      <c r="BI37" s="239">
        <f t="shared" ref="BI37" si="291">BI11-BI35</f>
        <v>4045042.2796986708</v>
      </c>
      <c r="BK37" s="239">
        <f t="shared" ref="BK37" si="292">BK11-BK35</f>
        <v>4118493.5299009117</v>
      </c>
    </row>
    <row r="38" spans="1:6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I38" s="238"/>
      <c r="AK38" s="238"/>
      <c r="AM38" s="238"/>
      <c r="AO38" s="238"/>
      <c r="AQ38" s="238"/>
      <c r="AS38" s="238"/>
      <c r="AU38" s="238"/>
      <c r="AW38" s="238"/>
      <c r="AY38" s="238"/>
      <c r="BA38" s="238"/>
      <c r="BC38" s="238"/>
      <c r="BE38" s="238"/>
      <c r="BG38" s="238"/>
      <c r="BI38" s="238"/>
      <c r="BK38" s="238"/>
    </row>
    <row r="39" spans="1:6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I39" s="238"/>
      <c r="AK39" s="238"/>
      <c r="AM39" s="238"/>
      <c r="AO39" s="238"/>
      <c r="AQ39" s="238"/>
      <c r="AS39" s="238"/>
      <c r="AU39" s="238"/>
      <c r="AW39" s="238"/>
      <c r="AY39" s="238"/>
      <c r="BA39" s="238"/>
      <c r="BC39" s="238"/>
      <c r="BE39" s="238"/>
      <c r="BG39" s="238"/>
      <c r="BI39" s="238"/>
      <c r="BK39" s="238"/>
    </row>
    <row r="40" spans="1:63" s="225" customFormat="1" ht="14.25">
      <c r="A40" s="241" t="str">
        <f>Application!C627</f>
        <v>CalHFA - Perm Loan</v>
      </c>
      <c r="B40" s="242"/>
      <c r="C40" s="236"/>
      <c r="E40" s="238">
        <f>Application!AF627</f>
        <v>2029123</v>
      </c>
      <c r="F40" s="238"/>
      <c r="G40" s="238">
        <f>$E$40</f>
        <v>2029123</v>
      </c>
      <c r="H40" s="238"/>
      <c r="I40" s="238">
        <f>$E$40</f>
        <v>2029123</v>
      </c>
      <c r="J40" s="238"/>
      <c r="K40" s="238">
        <f>$E$40</f>
        <v>2029123</v>
      </c>
      <c r="L40" s="238"/>
      <c r="M40" s="238">
        <f>$E$40</f>
        <v>2029123</v>
      </c>
      <c r="N40" s="238"/>
      <c r="O40" s="238">
        <f>$E$40</f>
        <v>2029123</v>
      </c>
      <c r="P40" s="238"/>
      <c r="Q40" s="238">
        <f>$E$40</f>
        <v>2029123</v>
      </c>
      <c r="R40" s="238"/>
      <c r="S40" s="238">
        <f>$E$40</f>
        <v>2029123</v>
      </c>
      <c r="T40" s="238"/>
      <c r="U40" s="238">
        <f>$E$40</f>
        <v>2029123</v>
      </c>
      <c r="V40" s="238"/>
      <c r="W40" s="238">
        <f>$E$40</f>
        <v>2029123</v>
      </c>
      <c r="X40" s="238"/>
      <c r="Y40" s="238">
        <f>$E$40</f>
        <v>2029123</v>
      </c>
      <c r="Z40" s="238"/>
      <c r="AA40" s="238">
        <f>$E$40</f>
        <v>2029123</v>
      </c>
      <c r="AB40" s="238"/>
      <c r="AC40" s="238">
        <f>$E$40</f>
        <v>2029123</v>
      </c>
      <c r="AD40" s="238"/>
      <c r="AE40" s="238">
        <f>$E$40</f>
        <v>2029123</v>
      </c>
      <c r="AF40" s="238"/>
      <c r="AG40" s="238">
        <f>$E$40</f>
        <v>2029123</v>
      </c>
      <c r="AI40" s="238">
        <f t="shared" ref="AI40" si="293">$E$40</f>
        <v>2029123</v>
      </c>
      <c r="AK40" s="238">
        <f t="shared" ref="AK40" si="294">$E$40</f>
        <v>2029123</v>
      </c>
      <c r="AM40" s="238">
        <f t="shared" ref="AM40" si="295">$E$40</f>
        <v>2029123</v>
      </c>
      <c r="AO40" s="238">
        <f t="shared" ref="AO40" si="296">$E$40</f>
        <v>2029123</v>
      </c>
      <c r="AQ40" s="238">
        <f t="shared" ref="AQ40" si="297">$E$40</f>
        <v>2029123</v>
      </c>
      <c r="AS40" s="238">
        <f t="shared" ref="AS40" si="298">$E$40</f>
        <v>2029123</v>
      </c>
      <c r="AU40" s="238">
        <f t="shared" ref="AU40" si="299">$E$40</f>
        <v>2029123</v>
      </c>
      <c r="AW40" s="238">
        <f t="shared" ref="AW40" si="300">$E$40</f>
        <v>2029123</v>
      </c>
      <c r="AY40" s="238">
        <f t="shared" ref="AY40" si="301">$E$40</f>
        <v>2029123</v>
      </c>
      <c r="BA40" s="238">
        <f t="shared" ref="BA40" si="302">$E$40</f>
        <v>2029123</v>
      </c>
      <c r="BC40" s="238">
        <f t="shared" ref="BC40:BK40" si="303">$E$40</f>
        <v>2029123</v>
      </c>
      <c r="BE40" s="238">
        <f t="shared" si="303"/>
        <v>2029123</v>
      </c>
      <c r="BG40" s="238">
        <f t="shared" si="303"/>
        <v>2029123</v>
      </c>
      <c r="BI40" s="238">
        <f t="shared" si="303"/>
        <v>2029123</v>
      </c>
      <c r="BK40" s="238">
        <f t="shared" si="303"/>
        <v>2029123</v>
      </c>
    </row>
    <row r="41" spans="1:6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c r="AI41" s="238">
        <f t="shared" ref="AI41" si="304">$E$41</f>
        <v>0</v>
      </c>
      <c r="AK41" s="238">
        <f t="shared" ref="AK41" si="305">$E$41</f>
        <v>0</v>
      </c>
      <c r="AM41" s="238">
        <f t="shared" ref="AM41" si="306">$E$41</f>
        <v>0</v>
      </c>
      <c r="AO41" s="238">
        <f t="shared" ref="AO41" si="307">$E$41</f>
        <v>0</v>
      </c>
      <c r="AQ41" s="238">
        <f t="shared" ref="AQ41" si="308">$E$41</f>
        <v>0</v>
      </c>
      <c r="AS41" s="238">
        <f t="shared" ref="AS41" si="309">$E$41</f>
        <v>0</v>
      </c>
      <c r="AU41" s="238">
        <f t="shared" ref="AU41" si="310">$E$41</f>
        <v>0</v>
      </c>
      <c r="AW41" s="238">
        <f t="shared" ref="AW41" si="311">$E$41</f>
        <v>0</v>
      </c>
      <c r="AY41" s="238">
        <f t="shared" ref="AY41" si="312">$E$41</f>
        <v>0</v>
      </c>
      <c r="BA41" s="238">
        <f t="shared" ref="BA41" si="313">$E$41</f>
        <v>0</v>
      </c>
      <c r="BC41" s="238">
        <f t="shared" ref="BC41:BK41" si="314">$E$41</f>
        <v>0</v>
      </c>
      <c r="BE41" s="238">
        <f t="shared" si="314"/>
        <v>0</v>
      </c>
      <c r="BG41" s="238">
        <f t="shared" si="314"/>
        <v>0</v>
      </c>
      <c r="BI41" s="238">
        <f t="shared" si="314"/>
        <v>0</v>
      </c>
      <c r="BK41" s="238">
        <f t="shared" si="314"/>
        <v>0</v>
      </c>
    </row>
    <row r="42" spans="1:6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c r="AI42" s="248">
        <f t="shared" ref="AI42" si="315">$E$42</f>
        <v>0</v>
      </c>
      <c r="AK42" s="248">
        <f t="shared" ref="AK42" si="316">$E$42</f>
        <v>0</v>
      </c>
      <c r="AM42" s="248">
        <f t="shared" ref="AM42" si="317">$E$42</f>
        <v>0</v>
      </c>
      <c r="AO42" s="248">
        <f t="shared" ref="AO42" si="318">$E$42</f>
        <v>0</v>
      </c>
      <c r="AQ42" s="248">
        <f t="shared" ref="AQ42" si="319">$E$42</f>
        <v>0</v>
      </c>
      <c r="AS42" s="248">
        <f t="shared" ref="AS42" si="320">$E$42</f>
        <v>0</v>
      </c>
      <c r="AU42" s="248">
        <f t="shared" ref="AU42" si="321">$E$42</f>
        <v>0</v>
      </c>
      <c r="AW42" s="248">
        <f t="shared" ref="AW42" si="322">$E$42</f>
        <v>0</v>
      </c>
      <c r="AY42" s="248">
        <f t="shared" ref="AY42" si="323">$E$42</f>
        <v>0</v>
      </c>
      <c r="BA42" s="248">
        <f t="shared" ref="BA42" si="324">$E$42</f>
        <v>0</v>
      </c>
      <c r="BC42" s="248">
        <f t="shared" ref="BC42:BK42" si="325">$E$42</f>
        <v>0</v>
      </c>
      <c r="BE42" s="248">
        <f t="shared" si="325"/>
        <v>0</v>
      </c>
      <c r="BG42" s="248">
        <f t="shared" si="325"/>
        <v>0</v>
      </c>
      <c r="BI42" s="248">
        <f t="shared" si="325"/>
        <v>0</v>
      </c>
      <c r="BK42" s="248">
        <f t="shared" si="325"/>
        <v>0</v>
      </c>
    </row>
    <row r="43" spans="1:63" s="239" customFormat="1" ht="15">
      <c r="A43" s="239" t="s">
        <v>860</v>
      </c>
      <c r="C43" s="240"/>
      <c r="E43" s="239">
        <f>SUM(E40:E42)</f>
        <v>2029123</v>
      </c>
      <c r="G43" s="239">
        <f>SUM(G40:G42)</f>
        <v>2029123</v>
      </c>
      <c r="I43" s="239">
        <f>SUM(I40:I42)</f>
        <v>2029123</v>
      </c>
      <c r="K43" s="239">
        <f>SUM(K40:K42)</f>
        <v>2029123</v>
      </c>
      <c r="M43" s="239">
        <f>SUM(M40:M42)</f>
        <v>2029123</v>
      </c>
      <c r="O43" s="239">
        <f>SUM(O40:O42)</f>
        <v>2029123</v>
      </c>
      <c r="Q43" s="239">
        <f>SUM(Q40:Q42)</f>
        <v>2029123</v>
      </c>
      <c r="S43" s="239">
        <f>SUM(S40:S42)</f>
        <v>2029123</v>
      </c>
      <c r="U43" s="239">
        <f>SUM(U40:U42)</f>
        <v>2029123</v>
      </c>
      <c r="W43" s="239">
        <f>SUM(W40:W42)</f>
        <v>2029123</v>
      </c>
      <c r="Y43" s="239">
        <f>SUM(Y40:Y42)</f>
        <v>2029123</v>
      </c>
      <c r="AA43" s="239">
        <f>SUM(AA40:AA42)</f>
        <v>2029123</v>
      </c>
      <c r="AC43" s="239">
        <f>SUM(AC40:AC42)</f>
        <v>2029123</v>
      </c>
      <c r="AE43" s="239">
        <f>SUM(AE40:AE42)</f>
        <v>2029123</v>
      </c>
      <c r="AG43" s="239">
        <f>SUM(AG40:AG42)</f>
        <v>2029123</v>
      </c>
      <c r="AI43" s="239">
        <f t="shared" ref="AI43" si="326">SUM(AI40:AI42)</f>
        <v>2029123</v>
      </c>
      <c r="AK43" s="239">
        <f t="shared" ref="AK43" si="327">SUM(AK40:AK42)</f>
        <v>2029123</v>
      </c>
      <c r="AM43" s="239">
        <f t="shared" ref="AM43" si="328">SUM(AM40:AM42)</f>
        <v>2029123</v>
      </c>
      <c r="AO43" s="239">
        <f t="shared" ref="AO43" si="329">SUM(AO40:AO42)</f>
        <v>2029123</v>
      </c>
      <c r="AQ43" s="239">
        <f t="shared" ref="AQ43" si="330">SUM(AQ40:AQ42)</f>
        <v>2029123</v>
      </c>
      <c r="AS43" s="239">
        <f t="shared" ref="AS43" si="331">SUM(AS40:AS42)</f>
        <v>2029123</v>
      </c>
      <c r="AU43" s="239">
        <f t="shared" ref="AU43" si="332">SUM(AU40:AU42)</f>
        <v>2029123</v>
      </c>
      <c r="AW43" s="239">
        <f t="shared" ref="AW43" si="333">SUM(AW40:AW42)</f>
        <v>2029123</v>
      </c>
      <c r="AY43" s="239">
        <f t="shared" ref="AY43" si="334">SUM(AY40:AY42)</f>
        <v>2029123</v>
      </c>
      <c r="BA43" s="239">
        <f t="shared" ref="BA43" si="335">SUM(BA40:BA42)</f>
        <v>2029123</v>
      </c>
      <c r="BC43" s="239">
        <f t="shared" ref="BC43" si="336">SUM(BC40:BC42)</f>
        <v>2029123</v>
      </c>
      <c r="BE43" s="239">
        <f t="shared" ref="BE43" si="337">SUM(BE40:BE42)</f>
        <v>2029123</v>
      </c>
      <c r="BG43" s="239">
        <f t="shared" ref="BG43" si="338">SUM(BG40:BG42)</f>
        <v>2029123</v>
      </c>
      <c r="BI43" s="239">
        <f t="shared" ref="BI43" si="339">SUM(BI40:BI42)</f>
        <v>2029123</v>
      </c>
      <c r="BK43" s="239">
        <f t="shared" ref="BK43" si="340">SUM(BK40:BK42)</f>
        <v>2029123</v>
      </c>
    </row>
    <row r="44" spans="1:6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I44" s="238"/>
      <c r="AK44" s="238"/>
      <c r="AM44" s="238"/>
      <c r="AO44" s="238"/>
      <c r="AQ44" s="238"/>
      <c r="AS44" s="238"/>
      <c r="AU44" s="238"/>
      <c r="AW44" s="238"/>
      <c r="AY44" s="238"/>
      <c r="BA44" s="238"/>
      <c r="BC44" s="238"/>
      <c r="BE44" s="238"/>
      <c r="BG44" s="238"/>
      <c r="BI44" s="238"/>
      <c r="BK44" s="238"/>
    </row>
    <row r="45" spans="1:63" s="239" customFormat="1" ht="15">
      <c r="A45" s="239" t="s">
        <v>861</v>
      </c>
      <c r="C45" s="240"/>
      <c r="E45" s="239">
        <f>E37-E43</f>
        <v>317296.60000000009</v>
      </c>
      <c r="G45" s="239">
        <f>G37-G43</f>
        <v>366133.02999999933</v>
      </c>
      <c r="I45" s="239">
        <f>I37-I43</f>
        <v>415804.74739999929</v>
      </c>
      <c r="K45" s="239">
        <f>K37-K43</f>
        <v>466319.13756774925</v>
      </c>
      <c r="M45" s="239">
        <f>M37-M43</f>
        <v>517683.2981165885</v>
      </c>
      <c r="O45" s="239">
        <f>O37-O43</f>
        <v>569904.01517798658</v>
      </c>
      <c r="Q45" s="239">
        <f>Q37-Q43</f>
        <v>622987.73850221653</v>
      </c>
      <c r="S45" s="239">
        <f>S37-S43</f>
        <v>676940.55533762043</v>
      </c>
      <c r="U45" s="239">
        <f>U37-U43</f>
        <v>731768.16303695925</v>
      </c>
      <c r="W45" s="239">
        <f>W37-W43</f>
        <v>787475.84033733653</v>
      </c>
      <c r="Y45" s="239">
        <f>Y37-Y43</f>
        <v>844068.41725807963</v>
      </c>
      <c r="AA45" s="239">
        <f>AA37-AA43</f>
        <v>901550.24355877331</v>
      </c>
      <c r="AC45" s="239">
        <f>AC37-AC43</f>
        <v>959925.1556974058</v>
      </c>
      <c r="AE45" s="239">
        <f>AE37-AE43</f>
        <v>1019196.4422262437</v>
      </c>
      <c r="AG45" s="239">
        <f>AG37-AG43</f>
        <v>1079366.8075605761</v>
      </c>
      <c r="AI45" s="239">
        <f t="shared" ref="AI45" si="341">AI37-AI43</f>
        <v>1140438.3340530209</v>
      </c>
      <c r="AK45" s="239">
        <f t="shared" ref="AK45" si="342">AK37-AK43</f>
        <v>1202412.4423033958</v>
      </c>
      <c r="AM45" s="239">
        <f t="shared" ref="AM45" si="343">AM37-AM43</f>
        <v>1265289.8496314967</v>
      </c>
      <c r="AO45" s="239">
        <f t="shared" ref="AO45" si="344">AO37-AO43</f>
        <v>1329070.5266372696</v>
      </c>
      <c r="AQ45" s="239">
        <f t="shared" ref="AQ45" si="345">AQ37-AQ43</f>
        <v>1393753.6517699617</v>
      </c>
      <c r="AS45" s="239">
        <f t="shared" ref="AS45" si="346">AS37-AS43</f>
        <v>1459337.5638248064</v>
      </c>
      <c r="AU45" s="239">
        <f t="shared" ref="AU45" si="347">AU37-AU43</f>
        <v>1525819.7122826432</v>
      </c>
      <c r="AW45" s="239">
        <f t="shared" ref="AW45" si="348">AW37-AW43</f>
        <v>1593196.6054046052</v>
      </c>
      <c r="AY45" s="239">
        <f t="shared" ref="AY45" si="349">AY37-AY43</f>
        <v>1661463.7559906365</v>
      </c>
      <c r="BA45" s="239">
        <f t="shared" ref="BA45" si="350">BA37-BA43</f>
        <v>1730615.6247070991</v>
      </c>
      <c r="BC45" s="239">
        <f t="shared" ref="BC45" si="351">BC37-BC43</f>
        <v>1800645.5608850587</v>
      </c>
      <c r="BE45" s="239">
        <f t="shared" ref="BE45" si="352">BE37-BE43</f>
        <v>1871545.7406870793</v>
      </c>
      <c r="BG45" s="239">
        <f t="shared" ref="BG45" si="353">BG37-BG43</f>
        <v>1943307.102536445</v>
      </c>
      <c r="BI45" s="239">
        <f t="shared" ref="BI45" si="354">BI37-BI43</f>
        <v>2015919.2796986708</v>
      </c>
      <c r="BK45" s="239">
        <f t="shared" ref="BK45" si="355">BK37-BK43</f>
        <v>2089370.5299009117</v>
      </c>
    </row>
    <row r="46" spans="1:6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I46" s="238"/>
      <c r="AK46" s="238"/>
      <c r="AM46" s="238"/>
      <c r="AO46" s="238"/>
      <c r="AQ46" s="238"/>
      <c r="AS46" s="238"/>
      <c r="AU46" s="238"/>
      <c r="AW46" s="238"/>
      <c r="AY46" s="238"/>
      <c r="BA46" s="238"/>
      <c r="BC46" s="238"/>
      <c r="BE46" s="238"/>
      <c r="BG46" s="238"/>
      <c r="BI46" s="238"/>
      <c r="BK46" s="238"/>
    </row>
    <row r="47" spans="1:63" s="243" customFormat="1" ht="14.25">
      <c r="A47" s="243" t="s">
        <v>863</v>
      </c>
      <c r="C47" s="236"/>
      <c r="E47" s="243">
        <f>E45/(E4+E6+E8)</f>
        <v>8.6223120544094672E-2</v>
      </c>
      <c r="G47" s="243">
        <f>G45/(G4+G6+G8)</f>
        <v>9.7067392283141068E-2</v>
      </c>
      <c r="I47" s="243">
        <f>I45/(I4+I6+I8)</f>
        <v>0.1075474285453507</v>
      </c>
      <c r="K47" s="243">
        <f>K45/(K4+K6+K8)</f>
        <v>0.11767114003948353</v>
      </c>
      <c r="M47" s="243">
        <f>M45/(M4+M6+M8)</f>
        <v>0.12744623503668728</v>
      </c>
      <c r="O47" s="243">
        <f>O45/(O4+O6+O8)</f>
        <v>0.13688022421538101</v>
      </c>
      <c r="Q47" s="243">
        <f>Q45/(Q4+Q6+Q8)</f>
        <v>0.14598042538706629</v>
      </c>
      <c r="S47" s="243">
        <f>S45/(S4+S6+S8)</f>
        <v>0.1547539681059634</v>
      </c>
      <c r="U47" s="243">
        <f>U45/(U4+U6+U8)</f>
        <v>0.16320779816529474</v>
      </c>
      <c r="W47" s="243">
        <f>W45/(W4+W6+W8)</f>
        <v>0.17134868198297368</v>
      </c>
      <c r="Y47" s="243">
        <f>Y45/(Y4+Y6+Y8)</f>
        <v>0.17918321087938643</v>
      </c>
      <c r="AA47" s="243">
        <f>AA45/(AA4+AA6+AA8)</f>
        <v>0.18671780524988701</v>
      </c>
      <c r="AC47" s="243">
        <f>AC45/(AC4+AC6+AC8)</f>
        <v>0.19395871863456779</v>
      </c>
      <c r="AE47" s="243">
        <f>AE45/(AE4+AE6+AE8)</f>
        <v>0.2009120416878013</v>
      </c>
      <c r="AG47" s="243">
        <f>AG45/(AG4+AG6+AG8)</f>
        <v>0.20758370604998438</v>
      </c>
      <c r="AI47" s="243">
        <f t="shared" ref="AI47" si="356">AI45/(AI4+AI6+AI8)</f>
        <v>0.21397948812386616</v>
      </c>
      <c r="AK47" s="243">
        <f t="shared" ref="AK47" si="357">AK45/(AK4+AK6+AK8)</f>
        <v>0.22010501275777303</v>
      </c>
      <c r="AM47" s="243">
        <f t="shared" ref="AM47" si="358">AM45/(AM4+AM6+AM8)</f>
        <v>0.22596575683799483</v>
      </c>
      <c r="AO47" s="243">
        <f t="shared" ref="AO47" si="359">AO45/(AO4+AO6+AO8)</f>
        <v>0.2315670527925355</v>
      </c>
      <c r="AQ47" s="243">
        <f t="shared" ref="AQ47" si="360">AQ45/(AQ4+AQ6+AQ8)</f>
        <v>0.23691409200838112</v>
      </c>
      <c r="AS47" s="243">
        <f t="shared" ref="AS47" si="361">AS45/(AS4+AS6+AS8)</f>
        <v>0.24201192816438546</v>
      </c>
      <c r="AU47" s="243">
        <f t="shared" ref="AU47" si="362">AU45/(AU4+AU6+AU8)</f>
        <v>0.24686548048182097</v>
      </c>
      <c r="AW47" s="243">
        <f t="shared" ref="AW47" si="363">AW45/(AW4+AW6+AW8)</f>
        <v>0.2514795368945909</v>
      </c>
      <c r="AY47" s="243">
        <f t="shared" ref="AY47" si="364">AY45/(AY4+AY6+AY8)</f>
        <v>0.25585875714105411</v>
      </c>
      <c r="BA47" s="243">
        <f t="shared" ref="BA47" si="365">BA45/(BA4+BA6+BA8)</f>
        <v>0.26000767577936407</v>
      </c>
      <c r="BC47" s="243">
        <f t="shared" ref="BC47" si="366">BC45/(BC4+BC6+BC8)</f>
        <v>0.26393070512817629</v>
      </c>
      <c r="BE47" s="243">
        <f t="shared" ref="BE47" si="367">BE45/(BE4+BE6+BE8)</f>
        <v>0.26763213813453246</v>
      </c>
      <c r="BG47" s="243">
        <f t="shared" ref="BG47" si="368">BG45/(BG4+BG6+BG8)</f>
        <v>0.2711161511706891</v>
      </c>
      <c r="BI47" s="243">
        <f t="shared" ref="BI47" si="369">BI45/(BI4+BI6+BI8)</f>
        <v>0.27438680676161331</v>
      </c>
      <c r="BK47" s="243">
        <f t="shared" ref="BK47" si="370">BK45/(BK4+BK6+BK8)</f>
        <v>0.27744805624482288</v>
      </c>
    </row>
    <row r="48" spans="1:63" s="243" customFormat="1" ht="14.25">
      <c r="A48" s="243" t="s">
        <v>864</v>
      </c>
      <c r="C48" s="236"/>
      <c r="E48" s="243">
        <f>E45/E43</f>
        <v>0.15637129932488081</v>
      </c>
      <c r="G48" s="243">
        <f>G45/G43</f>
        <v>0.18043905174797156</v>
      </c>
      <c r="I48" s="243">
        <f>I45/I43</f>
        <v>0.20491845363735925</v>
      </c>
      <c r="K48" s="243">
        <f>K45/K43</f>
        <v>0.22981314467765102</v>
      </c>
      <c r="M48" s="243">
        <f>M45/M43</f>
        <v>0.25512662274124759</v>
      </c>
      <c r="O48" s="243">
        <f>O45/O43</f>
        <v>0.28086223219488743</v>
      </c>
      <c r="Q48" s="243">
        <f>Q45/Q43</f>
        <v>0.30702315162866745</v>
      </c>
      <c r="S48" s="243">
        <f>S45/S43</f>
        <v>0.33361238098312446</v>
      </c>
      <c r="U48" s="243">
        <f>U45/U43</f>
        <v>0.36063272804899421</v>
      </c>
      <c r="W48" s="243">
        <f>W45/W43</f>
        <v>0.38808679431327553</v>
      </c>
      <c r="Y48" s="243">
        <f>Y45/Y43</f>
        <v>0.41597696012419139</v>
      </c>
      <c r="AA48" s="243">
        <f>AA45/AA43</f>
        <v>0.44430536914655905</v>
      </c>
      <c r="AC48" s="243">
        <f>AC45/AC43</f>
        <v>0.47307391207797939</v>
      </c>
      <c r="AE48" s="243">
        <f>AE45/AE43</f>
        <v>0.50228420959510278</v>
      </c>
      <c r="AG48" s="243">
        <f>AG45/AG43</f>
        <v>0.53193759449800537</v>
      </c>
      <c r="AI48" s="243">
        <f t="shared" ref="AI48" si="371">AI45/AI43</f>
        <v>0.56203509301950694</v>
      </c>
      <c r="AK48" s="243">
        <f t="shared" ref="AK48" si="372">AK45/AK43</f>
        <v>0.59257740526493263</v>
      </c>
      <c r="AM48" s="243">
        <f t="shared" ref="AM48" si="373">AM45/AM43</f>
        <v>0.62356488474651206</v>
      </c>
      <c r="AO48" s="243">
        <f t="shared" ref="AO48" si="374">AO45/AO43</f>
        <v>0.65499751697520048</v>
      </c>
      <c r="AQ48" s="243">
        <f t="shared" ref="AQ48" si="375">AQ45/AQ43</f>
        <v>0.68687489707127747</v>
      </c>
      <c r="AS48" s="243">
        <f t="shared" ref="AS48" si="376">AS45/AS43</f>
        <v>0.7191962063535855</v>
      </c>
      <c r="AU48" s="243">
        <f t="shared" ref="AU48" si="377">AU45/AU43</f>
        <v>0.75196018786571495</v>
      </c>
      <c r="AW48" s="243">
        <f t="shared" ref="AW48" si="378">AW45/AW43</f>
        <v>0.785165120795834</v>
      </c>
      <c r="AY48" s="243">
        <f t="shared" ref="AY48" si="379">AY45/AY43</f>
        <v>0.81880879374519755</v>
      </c>
      <c r="BA48" s="243">
        <f t="shared" ref="BA48" si="380">BA45/BA43</f>
        <v>0.85288847679864599</v>
      </c>
      <c r="BC48" s="243">
        <f t="shared" ref="BC48" si="381">BC45/BC43</f>
        <v>0.88740089234859532</v>
      </c>
      <c r="BE48" s="243">
        <f t="shared" ref="BE48" si="382">BE45/BE43</f>
        <v>0.922342184622164</v>
      </c>
      <c r="BG48" s="243">
        <f t="shared" ref="BG48" si="383">BG45/BG43</f>
        <v>0.95770788785916128</v>
      </c>
      <c r="BI48" s="243">
        <f t="shared" ref="BI48" si="384">BI45/BI43</f>
        <v>0.99349289308665412</v>
      </c>
      <c r="BK48" s="243">
        <f t="shared" ref="BK48" si="385">BK45/BK43</f>
        <v>1.0296914134337405</v>
      </c>
    </row>
    <row r="49" spans="1:64" s="244" customFormat="1" ht="14.25">
      <c r="A49" s="244" t="s">
        <v>862</v>
      </c>
      <c r="C49" s="245"/>
      <c r="E49" s="244">
        <f>E37/E43</f>
        <v>1.1563712993248807</v>
      </c>
      <c r="G49" s="244">
        <f>G37/G43</f>
        <v>1.1804390517479715</v>
      </c>
      <c r="I49" s="244">
        <f>I37/I43</f>
        <v>1.2049184536373592</v>
      </c>
      <c r="K49" s="244">
        <f>K37/K43</f>
        <v>1.229813144677651</v>
      </c>
      <c r="M49" s="244">
        <f>M37/M43</f>
        <v>1.2551266227412476</v>
      </c>
      <c r="O49" s="244">
        <f>O37/O43</f>
        <v>1.2808622321948875</v>
      </c>
      <c r="Q49" s="244">
        <f>Q37/Q43</f>
        <v>1.3070231516286674</v>
      </c>
      <c r="S49" s="244">
        <f>S37/S43</f>
        <v>1.3336123809831244</v>
      </c>
      <c r="U49" s="244">
        <f>U37/U43</f>
        <v>1.3606327280489943</v>
      </c>
      <c r="W49" s="244">
        <f>W37/W43</f>
        <v>1.3880867943132755</v>
      </c>
      <c r="Y49" s="244">
        <f>Y37/Y43</f>
        <v>1.4159769601241914</v>
      </c>
      <c r="AA49" s="244">
        <f>AA37/AA43</f>
        <v>1.444305369146559</v>
      </c>
      <c r="AC49" s="244">
        <f>AC37/AC43</f>
        <v>1.4730739120779794</v>
      </c>
      <c r="AE49" s="244">
        <f>AE37/AE43</f>
        <v>1.5022842095951028</v>
      </c>
      <c r="AG49" s="244">
        <f>AG37/AG43</f>
        <v>1.5319375944980054</v>
      </c>
      <c r="AI49" s="244">
        <f t="shared" ref="AI49" si="386">AI37/AI43</f>
        <v>1.5620350930195068</v>
      </c>
      <c r="AK49" s="244">
        <f t="shared" ref="AK49" si="387">AK37/AK43</f>
        <v>1.5925774052649326</v>
      </c>
      <c r="AM49" s="244">
        <f t="shared" ref="AM49" si="388">AM37/AM43</f>
        <v>1.6235648847465121</v>
      </c>
      <c r="AO49" s="244">
        <f t="shared" ref="AO49" si="389">AO37/AO43</f>
        <v>1.6549975169752005</v>
      </c>
      <c r="AQ49" s="244">
        <f t="shared" ref="AQ49" si="390">AQ37/AQ43</f>
        <v>1.6868748970712775</v>
      </c>
      <c r="AS49" s="244">
        <f t="shared" ref="AS49" si="391">AS37/AS43</f>
        <v>1.7191962063535855</v>
      </c>
      <c r="AU49" s="244">
        <f t="shared" ref="AU49" si="392">AU37/AU43</f>
        <v>1.7519601878657149</v>
      </c>
      <c r="AW49" s="244">
        <f t="shared" ref="AW49" si="393">AW37/AW43</f>
        <v>1.7851651207958341</v>
      </c>
      <c r="AY49" s="244">
        <f t="shared" ref="AY49" si="394">AY37/AY43</f>
        <v>1.8188087937451975</v>
      </c>
      <c r="BA49" s="244">
        <f t="shared" ref="BA49" si="395">BA37/BA43</f>
        <v>1.852888476798646</v>
      </c>
      <c r="BC49" s="244">
        <f t="shared" ref="BC49" si="396">BC37/BC43</f>
        <v>1.8874008923485952</v>
      </c>
      <c r="BE49" s="244">
        <f t="shared" ref="BE49" si="397">BE37/BE43</f>
        <v>1.922342184622164</v>
      </c>
      <c r="BG49" s="244">
        <f t="shared" ref="BG49" si="398">BG37/BG43</f>
        <v>1.9577078878591614</v>
      </c>
      <c r="BI49" s="244">
        <f t="shared" ref="BI49" si="399">BI37/BI43</f>
        <v>1.993492893086654</v>
      </c>
      <c r="BK49" s="244">
        <f t="shared" ref="BK49" si="400">BK37/BK43</f>
        <v>2.0296914134337403</v>
      </c>
    </row>
    <row r="50" spans="1:64"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I50" s="248"/>
      <c r="AK50" s="248"/>
      <c r="AM50" s="248"/>
      <c r="AO50" s="248"/>
      <c r="AQ50" s="248"/>
      <c r="AS50" s="248"/>
      <c r="AU50" s="248"/>
      <c r="AW50" s="248"/>
      <c r="AY50" s="248"/>
      <c r="BA50" s="248"/>
      <c r="BC50" s="248"/>
      <c r="BE50" s="248"/>
      <c r="BG50" s="248"/>
      <c r="BI50" s="248"/>
      <c r="BK50" s="248"/>
    </row>
    <row r="51" spans="1:64"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I51" s="995"/>
      <c r="AK51" s="995"/>
      <c r="AM51" s="995"/>
      <c r="AO51" s="995"/>
      <c r="AQ51" s="995"/>
      <c r="AS51" s="995"/>
      <c r="AU51" s="995"/>
      <c r="AW51" s="995"/>
      <c r="AY51" s="995"/>
      <c r="BA51" s="995"/>
      <c r="BC51" s="995"/>
      <c r="BE51" s="995"/>
      <c r="BG51" s="995"/>
      <c r="BI51" s="995"/>
      <c r="BK51" s="995"/>
    </row>
    <row r="52" spans="1:64" s="3" customFormat="1">
      <c r="A52" s="2678" t="s">
        <v>1291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I52" s="995"/>
      <c r="AK52" s="995"/>
      <c r="AM52" s="995"/>
      <c r="AO52" s="995"/>
      <c r="AQ52" s="995"/>
      <c r="AS52" s="995"/>
      <c r="AU52" s="995"/>
      <c r="AW52" s="995"/>
      <c r="AY52" s="995"/>
      <c r="BA52" s="995"/>
      <c r="BC52" s="995"/>
      <c r="BE52" s="995"/>
      <c r="BG52" s="995"/>
      <c r="BI52" s="995"/>
      <c r="BK52" s="995"/>
    </row>
    <row r="53" spans="1:64"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c r="AI53" s="995">
        <f t="shared" ref="AI53:AI57" si="401">AG53*$C$53</f>
        <v>0</v>
      </c>
      <c r="AK53" s="995">
        <f t="shared" ref="AK53:AK57" si="402">AI53*$C$53</f>
        <v>0</v>
      </c>
      <c r="AM53" s="995">
        <f t="shared" ref="AM53:AM57" si="403">AK53*$C$53</f>
        <v>0</v>
      </c>
      <c r="AO53" s="995">
        <f t="shared" ref="AO53:AO57" si="404">AM53*$C$53</f>
        <v>0</v>
      </c>
      <c r="AQ53" s="995">
        <f t="shared" ref="AQ53:AQ57" si="405">AO53*$C$53</f>
        <v>0</v>
      </c>
      <c r="AS53" s="995">
        <f t="shared" ref="AS53:AS57" si="406">AQ53*$C$53</f>
        <v>0</v>
      </c>
      <c r="AU53" s="995">
        <f t="shared" ref="AU53:AU57" si="407">AS53*$C$53</f>
        <v>0</v>
      </c>
      <c r="AW53" s="995">
        <f t="shared" ref="AW53:AW57" si="408">AU53*$C$53</f>
        <v>0</v>
      </c>
      <c r="AY53" s="995">
        <f t="shared" ref="AY53:AY57" si="409">AW53*$C$53</f>
        <v>0</v>
      </c>
      <c r="BA53" s="995">
        <f t="shared" ref="BA53:BA57" si="410">AY53*$C$53</f>
        <v>0</v>
      </c>
      <c r="BC53" s="995">
        <f t="shared" ref="BC53:BC57" si="411">BA53*$C$53</f>
        <v>0</v>
      </c>
      <c r="BE53" s="995">
        <f t="shared" ref="BE53:BE57" si="412">BC53*$C$53</f>
        <v>0</v>
      </c>
      <c r="BG53" s="995">
        <f t="shared" ref="BG53:BG57" si="413">BE53*$C$53</f>
        <v>0</v>
      </c>
      <c r="BI53" s="995">
        <f t="shared" ref="BI53:BI57" si="414">BG53*$C$53</f>
        <v>0</v>
      </c>
      <c r="BK53" s="995">
        <f t="shared" ref="BK53:BK57" si="415">BI53*$C$53</f>
        <v>0</v>
      </c>
    </row>
    <row r="54" spans="1:64" s="3" customFormat="1">
      <c r="A54" s="3" t="s">
        <v>867</v>
      </c>
      <c r="C54" s="993"/>
      <c r="E54" s="1000"/>
      <c r="F54" s="995"/>
      <c r="G54" s="995">
        <f t="shared" ref="G54:AG57" si="416">E54*$C$53</f>
        <v>0</v>
      </c>
      <c r="H54" s="995"/>
      <c r="I54" s="995">
        <f t="shared" si="416"/>
        <v>0</v>
      </c>
      <c r="J54" s="995"/>
      <c r="K54" s="995">
        <f t="shared" si="416"/>
        <v>0</v>
      </c>
      <c r="L54" s="995"/>
      <c r="M54" s="995">
        <f t="shared" si="416"/>
        <v>0</v>
      </c>
      <c r="N54" s="995"/>
      <c r="O54" s="995">
        <f t="shared" si="416"/>
        <v>0</v>
      </c>
      <c r="P54" s="995"/>
      <c r="Q54" s="995">
        <f t="shared" si="416"/>
        <v>0</v>
      </c>
      <c r="R54" s="995"/>
      <c r="S54" s="995">
        <f t="shared" si="416"/>
        <v>0</v>
      </c>
      <c r="T54" s="995"/>
      <c r="U54" s="995">
        <f t="shared" si="416"/>
        <v>0</v>
      </c>
      <c r="V54" s="995"/>
      <c r="W54" s="995">
        <f t="shared" si="416"/>
        <v>0</v>
      </c>
      <c r="X54" s="995"/>
      <c r="Y54" s="995">
        <f t="shared" si="416"/>
        <v>0</v>
      </c>
      <c r="Z54" s="995"/>
      <c r="AA54" s="995">
        <f t="shared" si="416"/>
        <v>0</v>
      </c>
      <c r="AB54" s="995"/>
      <c r="AC54" s="995">
        <f t="shared" si="416"/>
        <v>0</v>
      </c>
      <c r="AD54" s="995"/>
      <c r="AE54" s="995">
        <f t="shared" si="416"/>
        <v>0</v>
      </c>
      <c r="AF54" s="995"/>
      <c r="AG54" s="995">
        <f t="shared" si="416"/>
        <v>0</v>
      </c>
      <c r="AH54" s="995"/>
      <c r="AI54" s="995">
        <f t="shared" si="401"/>
        <v>0</v>
      </c>
      <c r="AJ54" s="995"/>
      <c r="AK54" s="995">
        <f t="shared" si="402"/>
        <v>0</v>
      </c>
      <c r="AL54" s="995"/>
      <c r="AM54" s="995">
        <f t="shared" si="403"/>
        <v>0</v>
      </c>
      <c r="AN54" s="995"/>
      <c r="AO54" s="995">
        <f t="shared" si="404"/>
        <v>0</v>
      </c>
      <c r="AP54" s="995"/>
      <c r="AQ54" s="995">
        <f t="shared" si="405"/>
        <v>0</v>
      </c>
      <c r="AR54" s="995"/>
      <c r="AS54" s="995">
        <f t="shared" si="406"/>
        <v>0</v>
      </c>
      <c r="AT54" s="995"/>
      <c r="AU54" s="995">
        <f t="shared" si="407"/>
        <v>0</v>
      </c>
      <c r="AV54" s="995"/>
      <c r="AW54" s="995">
        <f t="shared" si="408"/>
        <v>0</v>
      </c>
      <c r="AX54" s="995"/>
      <c r="AY54" s="995">
        <f t="shared" si="409"/>
        <v>0</v>
      </c>
      <c r="AZ54" s="995"/>
      <c r="BA54" s="995">
        <f t="shared" si="410"/>
        <v>0</v>
      </c>
      <c r="BB54" s="995"/>
      <c r="BC54" s="995">
        <f t="shared" si="411"/>
        <v>0</v>
      </c>
      <c r="BD54" s="995"/>
      <c r="BE54" s="995">
        <f t="shared" si="412"/>
        <v>0</v>
      </c>
      <c r="BF54" s="995"/>
      <c r="BG54" s="995">
        <f t="shared" si="413"/>
        <v>0</v>
      </c>
      <c r="BH54" s="995"/>
      <c r="BI54" s="995">
        <f t="shared" si="414"/>
        <v>0</v>
      </c>
      <c r="BJ54" s="995"/>
      <c r="BK54" s="995">
        <f t="shared" si="415"/>
        <v>0</v>
      </c>
      <c r="BL54" s="995"/>
    </row>
    <row r="55" spans="1:64" s="3" customFormat="1">
      <c r="A55" s="3" t="s">
        <v>868</v>
      </c>
      <c r="C55" s="993"/>
      <c r="E55" s="1000"/>
      <c r="F55" s="995"/>
      <c r="G55" s="995">
        <f t="shared" si="416"/>
        <v>0</v>
      </c>
      <c r="H55" s="995"/>
      <c r="I55" s="995">
        <f t="shared" si="416"/>
        <v>0</v>
      </c>
      <c r="J55" s="995"/>
      <c r="K55" s="995">
        <f t="shared" si="416"/>
        <v>0</v>
      </c>
      <c r="L55" s="995"/>
      <c r="M55" s="995">
        <f t="shared" si="416"/>
        <v>0</v>
      </c>
      <c r="N55" s="995"/>
      <c r="O55" s="995">
        <f t="shared" si="416"/>
        <v>0</v>
      </c>
      <c r="P55" s="995"/>
      <c r="Q55" s="995">
        <f t="shared" si="416"/>
        <v>0</v>
      </c>
      <c r="R55" s="995"/>
      <c r="S55" s="995">
        <f t="shared" si="416"/>
        <v>0</v>
      </c>
      <c r="T55" s="995"/>
      <c r="U55" s="995">
        <f t="shared" si="416"/>
        <v>0</v>
      </c>
      <c r="V55" s="995"/>
      <c r="W55" s="995">
        <f t="shared" si="416"/>
        <v>0</v>
      </c>
      <c r="X55" s="995"/>
      <c r="Y55" s="995">
        <f t="shared" si="416"/>
        <v>0</v>
      </c>
      <c r="Z55" s="995"/>
      <c r="AA55" s="995">
        <f t="shared" si="416"/>
        <v>0</v>
      </c>
      <c r="AB55" s="995"/>
      <c r="AC55" s="995">
        <f t="shared" si="416"/>
        <v>0</v>
      </c>
      <c r="AD55" s="995"/>
      <c r="AE55" s="995">
        <f t="shared" si="416"/>
        <v>0</v>
      </c>
      <c r="AF55" s="995"/>
      <c r="AG55" s="995">
        <f t="shared" si="416"/>
        <v>0</v>
      </c>
      <c r="AH55" s="995"/>
      <c r="AI55" s="995">
        <f t="shared" si="401"/>
        <v>0</v>
      </c>
      <c r="AJ55" s="995"/>
      <c r="AK55" s="995">
        <f t="shared" si="402"/>
        <v>0</v>
      </c>
      <c r="AL55" s="995"/>
      <c r="AM55" s="995">
        <f t="shared" si="403"/>
        <v>0</v>
      </c>
      <c r="AN55" s="995"/>
      <c r="AO55" s="995">
        <f t="shared" si="404"/>
        <v>0</v>
      </c>
      <c r="AP55" s="995"/>
      <c r="AQ55" s="995">
        <f t="shared" si="405"/>
        <v>0</v>
      </c>
      <c r="AR55" s="995"/>
      <c r="AS55" s="995">
        <f t="shared" si="406"/>
        <v>0</v>
      </c>
      <c r="AT55" s="995"/>
      <c r="AU55" s="995">
        <f t="shared" si="407"/>
        <v>0</v>
      </c>
      <c r="AV55" s="995"/>
      <c r="AW55" s="995">
        <f t="shared" si="408"/>
        <v>0</v>
      </c>
      <c r="AX55" s="995"/>
      <c r="AY55" s="995">
        <f t="shared" si="409"/>
        <v>0</v>
      </c>
      <c r="AZ55" s="995"/>
      <c r="BA55" s="995">
        <f t="shared" si="410"/>
        <v>0</v>
      </c>
      <c r="BB55" s="995"/>
      <c r="BC55" s="995">
        <f t="shared" si="411"/>
        <v>0</v>
      </c>
      <c r="BD55" s="995"/>
      <c r="BE55" s="995">
        <f t="shared" si="412"/>
        <v>0</v>
      </c>
      <c r="BF55" s="995"/>
      <c r="BG55" s="995">
        <f t="shared" si="413"/>
        <v>0</v>
      </c>
      <c r="BH55" s="995"/>
      <c r="BI55" s="995">
        <f t="shared" si="414"/>
        <v>0</v>
      </c>
      <c r="BJ55" s="995"/>
      <c r="BK55" s="995">
        <f t="shared" si="415"/>
        <v>0</v>
      </c>
      <c r="BL55" s="995"/>
    </row>
    <row r="56" spans="1:64" s="3" customFormat="1">
      <c r="A56" s="1001"/>
      <c r="B56" s="1001"/>
      <c r="C56" s="993"/>
      <c r="E56" s="1000"/>
      <c r="F56" s="995"/>
      <c r="G56" s="995">
        <f t="shared" si="416"/>
        <v>0</v>
      </c>
      <c r="H56" s="995"/>
      <c r="I56" s="995">
        <f t="shared" si="416"/>
        <v>0</v>
      </c>
      <c r="J56" s="995"/>
      <c r="K56" s="995">
        <f t="shared" si="416"/>
        <v>0</v>
      </c>
      <c r="L56" s="995"/>
      <c r="M56" s="995">
        <f t="shared" si="416"/>
        <v>0</v>
      </c>
      <c r="N56" s="995"/>
      <c r="O56" s="995">
        <f t="shared" si="416"/>
        <v>0</v>
      </c>
      <c r="P56" s="995"/>
      <c r="Q56" s="995">
        <f t="shared" si="416"/>
        <v>0</v>
      </c>
      <c r="R56" s="995"/>
      <c r="S56" s="995">
        <f t="shared" si="416"/>
        <v>0</v>
      </c>
      <c r="T56" s="995"/>
      <c r="U56" s="995">
        <f t="shared" si="416"/>
        <v>0</v>
      </c>
      <c r="V56" s="995"/>
      <c r="W56" s="995">
        <f t="shared" si="416"/>
        <v>0</v>
      </c>
      <c r="X56" s="995"/>
      <c r="Y56" s="995">
        <f t="shared" si="416"/>
        <v>0</v>
      </c>
      <c r="Z56" s="995"/>
      <c r="AA56" s="995">
        <f t="shared" si="416"/>
        <v>0</v>
      </c>
      <c r="AB56" s="995"/>
      <c r="AC56" s="995">
        <f t="shared" si="416"/>
        <v>0</v>
      </c>
      <c r="AD56" s="995"/>
      <c r="AE56" s="995">
        <f t="shared" si="416"/>
        <v>0</v>
      </c>
      <c r="AF56" s="995"/>
      <c r="AG56" s="995">
        <f t="shared" si="416"/>
        <v>0</v>
      </c>
      <c r="AH56" s="995"/>
      <c r="AI56" s="995">
        <f t="shared" si="401"/>
        <v>0</v>
      </c>
      <c r="AJ56" s="995"/>
      <c r="AK56" s="995">
        <f t="shared" si="402"/>
        <v>0</v>
      </c>
      <c r="AL56" s="995"/>
      <c r="AM56" s="995">
        <f t="shared" si="403"/>
        <v>0</v>
      </c>
      <c r="AN56" s="995"/>
      <c r="AO56" s="995">
        <f t="shared" si="404"/>
        <v>0</v>
      </c>
      <c r="AP56" s="995"/>
      <c r="AQ56" s="995">
        <f t="shared" si="405"/>
        <v>0</v>
      </c>
      <c r="AR56" s="995"/>
      <c r="AS56" s="995">
        <f t="shared" si="406"/>
        <v>0</v>
      </c>
      <c r="AT56" s="995"/>
      <c r="AU56" s="995">
        <f t="shared" si="407"/>
        <v>0</v>
      </c>
      <c r="AV56" s="995"/>
      <c r="AW56" s="995">
        <f t="shared" si="408"/>
        <v>0</v>
      </c>
      <c r="AX56" s="995"/>
      <c r="AY56" s="995">
        <f t="shared" si="409"/>
        <v>0</v>
      </c>
      <c r="AZ56" s="995"/>
      <c r="BA56" s="995">
        <f t="shared" si="410"/>
        <v>0</v>
      </c>
      <c r="BB56" s="995"/>
      <c r="BC56" s="995">
        <f t="shared" si="411"/>
        <v>0</v>
      </c>
      <c r="BD56" s="995"/>
      <c r="BE56" s="995">
        <f t="shared" si="412"/>
        <v>0</v>
      </c>
      <c r="BF56" s="995"/>
      <c r="BG56" s="995">
        <f t="shared" si="413"/>
        <v>0</v>
      </c>
      <c r="BH56" s="995"/>
      <c r="BI56" s="995">
        <f t="shared" si="414"/>
        <v>0</v>
      </c>
      <c r="BJ56" s="995"/>
      <c r="BK56" s="995">
        <f t="shared" si="415"/>
        <v>0</v>
      </c>
      <c r="BL56" s="995"/>
    </row>
    <row r="57" spans="1:64" s="3" customFormat="1">
      <c r="A57" s="1001"/>
      <c r="B57" s="1001"/>
      <c r="C57" s="993"/>
      <c r="E57" s="1002"/>
      <c r="F57" s="995"/>
      <c r="G57" s="1003">
        <f t="shared" si="416"/>
        <v>0</v>
      </c>
      <c r="H57" s="995"/>
      <c r="I57" s="1003">
        <f t="shared" si="416"/>
        <v>0</v>
      </c>
      <c r="J57" s="995"/>
      <c r="K57" s="1003">
        <f t="shared" si="416"/>
        <v>0</v>
      </c>
      <c r="L57" s="995"/>
      <c r="M57" s="1003">
        <f t="shared" si="416"/>
        <v>0</v>
      </c>
      <c r="N57" s="995"/>
      <c r="O57" s="1003">
        <f t="shared" si="416"/>
        <v>0</v>
      </c>
      <c r="P57" s="995"/>
      <c r="Q57" s="1003">
        <f t="shared" si="416"/>
        <v>0</v>
      </c>
      <c r="R57" s="995"/>
      <c r="S57" s="1003">
        <f t="shared" si="416"/>
        <v>0</v>
      </c>
      <c r="T57" s="995"/>
      <c r="U57" s="1003">
        <f t="shared" si="416"/>
        <v>0</v>
      </c>
      <c r="V57" s="995"/>
      <c r="W57" s="1003">
        <f t="shared" si="416"/>
        <v>0</v>
      </c>
      <c r="X57" s="995"/>
      <c r="Y57" s="1003">
        <f t="shared" si="416"/>
        <v>0</v>
      </c>
      <c r="Z57" s="995"/>
      <c r="AA57" s="1003">
        <f t="shared" si="416"/>
        <v>0</v>
      </c>
      <c r="AB57" s="995"/>
      <c r="AC57" s="1003">
        <f t="shared" si="416"/>
        <v>0</v>
      </c>
      <c r="AD57" s="995"/>
      <c r="AE57" s="1003">
        <f t="shared" si="416"/>
        <v>0</v>
      </c>
      <c r="AF57" s="995"/>
      <c r="AG57" s="1003">
        <f t="shared" si="416"/>
        <v>0</v>
      </c>
      <c r="AH57" s="995"/>
      <c r="AI57" s="1003">
        <f t="shared" si="401"/>
        <v>0</v>
      </c>
      <c r="AJ57" s="995"/>
      <c r="AK57" s="1003">
        <f t="shared" si="402"/>
        <v>0</v>
      </c>
      <c r="AL57" s="995"/>
      <c r="AM57" s="1003">
        <f t="shared" si="403"/>
        <v>0</v>
      </c>
      <c r="AN57" s="995"/>
      <c r="AO57" s="1003">
        <f t="shared" si="404"/>
        <v>0</v>
      </c>
      <c r="AP57" s="995"/>
      <c r="AQ57" s="1003">
        <f t="shared" si="405"/>
        <v>0</v>
      </c>
      <c r="AR57" s="995"/>
      <c r="AS57" s="1003">
        <f t="shared" si="406"/>
        <v>0</v>
      </c>
      <c r="AT57" s="995"/>
      <c r="AU57" s="1003">
        <f t="shared" si="407"/>
        <v>0</v>
      </c>
      <c r="AV57" s="995"/>
      <c r="AW57" s="1003">
        <f t="shared" si="408"/>
        <v>0</v>
      </c>
      <c r="AX57" s="995"/>
      <c r="AY57" s="1003">
        <f t="shared" si="409"/>
        <v>0</v>
      </c>
      <c r="AZ57" s="995"/>
      <c r="BA57" s="1003">
        <f t="shared" si="410"/>
        <v>0</v>
      </c>
      <c r="BB57" s="995"/>
      <c r="BC57" s="1003">
        <f t="shared" si="411"/>
        <v>0</v>
      </c>
      <c r="BD57" s="995"/>
      <c r="BE57" s="1003">
        <f t="shared" si="412"/>
        <v>0</v>
      </c>
      <c r="BF57" s="995"/>
      <c r="BG57" s="1003">
        <f t="shared" si="413"/>
        <v>0</v>
      </c>
      <c r="BH57" s="995"/>
      <c r="BI57" s="1003">
        <f t="shared" si="414"/>
        <v>0</v>
      </c>
      <c r="BJ57" s="995"/>
      <c r="BK57" s="1003">
        <f t="shared" si="415"/>
        <v>0</v>
      </c>
      <c r="BL57" s="995"/>
    </row>
    <row r="58" spans="1:64"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f t="shared" ref="AI58" si="417">SUM(AI53:AI57)</f>
        <v>0</v>
      </c>
      <c r="AJ58" s="995"/>
      <c r="AK58" s="995">
        <f t="shared" ref="AK58" si="418">SUM(AK53:AK57)</f>
        <v>0</v>
      </c>
      <c r="AL58" s="995"/>
      <c r="AM58" s="995">
        <f t="shared" ref="AM58" si="419">SUM(AM53:AM57)</f>
        <v>0</v>
      </c>
      <c r="AN58" s="995"/>
      <c r="AO58" s="995">
        <f t="shared" ref="AO58" si="420">SUM(AO53:AO57)</f>
        <v>0</v>
      </c>
      <c r="AP58" s="995"/>
      <c r="AQ58" s="995">
        <f t="shared" ref="AQ58" si="421">SUM(AQ53:AQ57)</f>
        <v>0</v>
      </c>
      <c r="AR58" s="995"/>
      <c r="AS58" s="995">
        <f t="shared" ref="AS58" si="422">SUM(AS53:AS57)</f>
        <v>0</v>
      </c>
      <c r="AT58" s="995"/>
      <c r="AU58" s="995">
        <f t="shared" ref="AU58" si="423">SUM(AU53:AU57)</f>
        <v>0</v>
      </c>
      <c r="AV58" s="995"/>
      <c r="AW58" s="995">
        <f t="shared" ref="AW58" si="424">SUM(AW53:AW57)</f>
        <v>0</v>
      </c>
      <c r="AX58" s="995"/>
      <c r="AY58" s="995">
        <f t="shared" ref="AY58" si="425">SUM(AY53:AY57)</f>
        <v>0</v>
      </c>
      <c r="AZ58" s="995"/>
      <c r="BA58" s="995">
        <f t="shared" ref="BA58" si="426">SUM(BA53:BA57)</f>
        <v>0</v>
      </c>
      <c r="BB58" s="995"/>
      <c r="BC58" s="995">
        <f t="shared" ref="BC58" si="427">SUM(BC53:BC57)</f>
        <v>0</v>
      </c>
      <c r="BD58" s="995"/>
      <c r="BE58" s="995">
        <f t="shared" ref="BE58" si="428">SUM(BE53:BE57)</f>
        <v>0</v>
      </c>
      <c r="BF58" s="995"/>
      <c r="BG58" s="995">
        <f t="shared" ref="BG58" si="429">SUM(BG53:BG57)</f>
        <v>0</v>
      </c>
      <c r="BH58" s="995"/>
      <c r="BI58" s="995">
        <f t="shared" ref="BI58" si="430">SUM(BI53:BI57)</f>
        <v>0</v>
      </c>
      <c r="BJ58" s="995"/>
      <c r="BK58" s="995">
        <f t="shared" ref="BK58" si="431">SUM(BK53:BK57)</f>
        <v>0</v>
      </c>
      <c r="BL58" s="995"/>
    </row>
    <row r="59" spans="1:64"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c r="AJ59" s="995"/>
      <c r="AK59" s="995"/>
      <c r="AL59" s="995"/>
      <c r="AM59" s="995"/>
      <c r="AN59" s="995"/>
      <c r="AO59" s="995"/>
      <c r="AP59" s="995"/>
      <c r="AQ59" s="995"/>
      <c r="AR59" s="995"/>
      <c r="AS59" s="995"/>
      <c r="AT59" s="995"/>
      <c r="AU59" s="995"/>
      <c r="AV59" s="995"/>
      <c r="AW59" s="995"/>
      <c r="AX59" s="995"/>
      <c r="AY59" s="995"/>
      <c r="AZ59" s="995"/>
      <c r="BA59" s="995"/>
      <c r="BB59" s="995"/>
      <c r="BC59" s="995"/>
      <c r="BD59" s="995"/>
      <c r="BE59" s="995"/>
      <c r="BF59" s="995"/>
      <c r="BG59" s="995"/>
      <c r="BH59" s="995"/>
      <c r="BI59" s="995"/>
      <c r="BJ59" s="995"/>
      <c r="BK59" s="995"/>
      <c r="BL59" s="995"/>
    </row>
    <row r="60" spans="1:64" s="997" customFormat="1">
      <c r="A60" s="997" t="s">
        <v>870</v>
      </c>
      <c r="C60" s="1004"/>
      <c r="E60" s="997">
        <f>E45-E58</f>
        <v>317296.60000000009</v>
      </c>
      <c r="G60" s="997">
        <f>G45-G58</f>
        <v>366133.02999999933</v>
      </c>
      <c r="I60" s="997">
        <f>I45-I58</f>
        <v>415804.74739999929</v>
      </c>
      <c r="K60" s="997">
        <f>K45-K58</f>
        <v>466319.13756774925</v>
      </c>
      <c r="M60" s="997">
        <f>M45-M58</f>
        <v>517683.2981165885</v>
      </c>
      <c r="O60" s="997">
        <f>O45-O58</f>
        <v>569904.01517798658</v>
      </c>
      <c r="Q60" s="997">
        <f>Q45-Q58</f>
        <v>622987.73850221653</v>
      </c>
      <c r="S60" s="997">
        <f>S45-S58</f>
        <v>676940.55533762043</v>
      </c>
      <c r="U60" s="997">
        <f>U45-U58</f>
        <v>731768.16303695925</v>
      </c>
      <c r="W60" s="997">
        <f>W45-W58</f>
        <v>787475.84033733653</v>
      </c>
      <c r="Y60" s="997">
        <f>Y45-Y58</f>
        <v>844068.41725807963</v>
      </c>
      <c r="AA60" s="997">
        <f>AA45-AA58</f>
        <v>901550.24355877331</v>
      </c>
      <c r="AC60" s="997">
        <f>AC45-AC58</f>
        <v>959925.1556974058</v>
      </c>
      <c r="AE60" s="997">
        <f>AE45-AE58</f>
        <v>1019196.4422262437</v>
      </c>
      <c r="AG60" s="997">
        <f>AG45-AG58</f>
        <v>1079366.8075605761</v>
      </c>
      <c r="AI60" s="997">
        <f t="shared" ref="AI60" si="432">AI45-AI58</f>
        <v>1140438.3340530209</v>
      </c>
      <c r="AK60" s="997">
        <f t="shared" ref="AK60" si="433">AK45-AK58</f>
        <v>1202412.4423033958</v>
      </c>
      <c r="AM60" s="997">
        <f t="shared" ref="AM60" si="434">AM45-AM58</f>
        <v>1265289.8496314967</v>
      </c>
      <c r="AO60" s="997">
        <f t="shared" ref="AO60" si="435">AO45-AO58</f>
        <v>1329070.5266372696</v>
      </c>
      <c r="AQ60" s="997">
        <f t="shared" ref="AQ60" si="436">AQ45-AQ58</f>
        <v>1393753.6517699617</v>
      </c>
      <c r="AS60" s="997">
        <f t="shared" ref="AS60" si="437">AS45-AS58</f>
        <v>1459337.5638248064</v>
      </c>
      <c r="AU60" s="997">
        <f t="shared" ref="AU60" si="438">AU45-AU58</f>
        <v>1525819.7122826432</v>
      </c>
      <c r="AW60" s="997">
        <f t="shared" ref="AW60" si="439">AW45-AW58</f>
        <v>1593196.6054046052</v>
      </c>
      <c r="AY60" s="997">
        <f t="shared" ref="AY60" si="440">AY45-AY58</f>
        <v>1661463.7559906365</v>
      </c>
      <c r="BA60" s="997">
        <f t="shared" ref="BA60" si="441">BA45-BA58</f>
        <v>1730615.6247070991</v>
      </c>
      <c r="BC60" s="997">
        <f t="shared" ref="BC60" si="442">BC45-BC58</f>
        <v>1800645.5608850587</v>
      </c>
      <c r="BE60" s="997">
        <f t="shared" ref="BE60" si="443">BE45-BE58</f>
        <v>1871545.7406870793</v>
      </c>
      <c r="BG60" s="997">
        <f t="shared" ref="BG60" si="444">BG45-BG58</f>
        <v>1943307.102536445</v>
      </c>
      <c r="BI60" s="997">
        <f t="shared" ref="BI60" si="445">BI45-BI58</f>
        <v>2015919.2796986708</v>
      </c>
      <c r="BK60" s="997">
        <f t="shared" ref="BK60" si="446">BK45-BK58</f>
        <v>2089370.5299009117</v>
      </c>
    </row>
    <row r="61" spans="1:64"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c r="AJ61" s="995"/>
      <c r="AK61" s="995"/>
      <c r="AL61" s="995"/>
      <c r="AM61" s="995"/>
      <c r="AN61" s="995"/>
      <c r="AO61" s="995"/>
      <c r="AP61" s="995"/>
      <c r="AQ61" s="995"/>
      <c r="AR61" s="995"/>
      <c r="AS61" s="995"/>
      <c r="AT61" s="995"/>
      <c r="AU61" s="995"/>
      <c r="AV61" s="995"/>
      <c r="AW61" s="995"/>
      <c r="AX61" s="995"/>
      <c r="AY61" s="995"/>
      <c r="AZ61" s="995"/>
      <c r="BA61" s="995"/>
      <c r="BB61" s="995"/>
      <c r="BC61" s="995"/>
      <c r="BD61" s="995"/>
      <c r="BE61" s="995"/>
      <c r="BF61" s="995"/>
      <c r="BG61" s="995"/>
      <c r="BH61" s="995"/>
      <c r="BI61" s="995"/>
      <c r="BJ61" s="995"/>
      <c r="BK61" s="995"/>
      <c r="BL61" s="995"/>
    </row>
    <row r="62" spans="1:64" s="997" customFormat="1">
      <c r="A62" s="997" t="s">
        <v>869</v>
      </c>
      <c r="C62" s="994">
        <v>0.5</v>
      </c>
      <c r="E62" s="999">
        <f>E60*$C$62</f>
        <v>158648.30000000005</v>
      </c>
      <c r="G62" s="997">
        <f>G60*$C$62</f>
        <v>183066.51499999966</v>
      </c>
      <c r="I62" s="997">
        <f>I60*$C$62</f>
        <v>207902.37369999965</v>
      </c>
      <c r="K62" s="997">
        <f>K60*$C$62</f>
        <v>233159.56878387462</v>
      </c>
      <c r="M62" s="997">
        <f>M60*$C$62</f>
        <v>258841.64905829425</v>
      </c>
      <c r="O62" s="997">
        <f>O60*$C$62</f>
        <v>284952.00758899329</v>
      </c>
      <c r="Q62" s="997">
        <f>Q60*$C$62</f>
        <v>311493.86925110826</v>
      </c>
      <c r="S62" s="997">
        <f>S60*$C$62+193807</f>
        <v>532277.27766881022</v>
      </c>
      <c r="U62" s="997">
        <f>U60</f>
        <v>731768.16303695925</v>
      </c>
      <c r="W62" s="997">
        <f t="shared" ref="W62" si="447">W60</f>
        <v>787475.84033733653</v>
      </c>
      <c r="Y62" s="997">
        <f t="shared" ref="Y62" si="448">Y60</f>
        <v>844068.41725807963</v>
      </c>
      <c r="AA62" s="997">
        <f>704937+97</f>
        <v>705034</v>
      </c>
    </row>
    <row r="63" spans="1:64" s="997" customFormat="1">
      <c r="A63" s="2678" t="s">
        <v>1291</v>
      </c>
      <c r="B63" s="2678"/>
      <c r="C63" s="2678"/>
    </row>
    <row r="64" spans="1:64"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c r="AJ64" s="995"/>
      <c r="AK64" s="995"/>
      <c r="AL64" s="995"/>
      <c r="AM64" s="995"/>
      <c r="AN64" s="995"/>
      <c r="AO64" s="995"/>
      <c r="AP64" s="995"/>
      <c r="AQ64" s="995"/>
      <c r="AR64" s="995"/>
      <c r="AS64" s="995"/>
      <c r="AT64" s="995"/>
      <c r="AU64" s="995"/>
      <c r="AV64" s="995"/>
      <c r="AW64" s="995"/>
      <c r="AX64" s="995"/>
      <c r="AY64" s="995"/>
      <c r="AZ64" s="995"/>
      <c r="BA64" s="995"/>
      <c r="BB64" s="995"/>
      <c r="BC64" s="995"/>
      <c r="BD64" s="995"/>
      <c r="BE64" s="995"/>
      <c r="BF64" s="995"/>
      <c r="BG64" s="995"/>
      <c r="BH64" s="995"/>
      <c r="BI64" s="995"/>
      <c r="BJ64" s="995"/>
      <c r="BK64" s="995"/>
      <c r="BL64" s="995"/>
    </row>
    <row r="65" spans="1:64"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c r="AJ65" s="995"/>
      <c r="AK65" s="995"/>
      <c r="AL65" s="995"/>
      <c r="AM65" s="995"/>
      <c r="AN65" s="995"/>
      <c r="AO65" s="995"/>
      <c r="AP65" s="995"/>
      <c r="AQ65" s="995"/>
      <c r="AR65" s="995"/>
      <c r="AS65" s="995"/>
      <c r="AT65" s="995"/>
      <c r="AU65" s="995"/>
      <c r="AV65" s="995"/>
      <c r="AW65" s="995"/>
      <c r="AX65" s="995"/>
      <c r="AY65" s="995"/>
      <c r="AZ65" s="995"/>
      <c r="BA65" s="995"/>
      <c r="BB65" s="995"/>
      <c r="BC65" s="995"/>
      <c r="BD65" s="995"/>
      <c r="BE65" s="995"/>
      <c r="BF65" s="995"/>
      <c r="BG65" s="995"/>
      <c r="BH65" s="995"/>
      <c r="BI65" s="995"/>
      <c r="BJ65" s="995"/>
      <c r="BK65" s="995"/>
      <c r="BL65" s="995"/>
    </row>
    <row r="66" spans="1:64" s="997" customFormat="1">
      <c r="A66" s="999"/>
      <c r="B66" s="999"/>
      <c r="C66" s="998"/>
      <c r="E66" s="999">
        <f>$E60*$C$65</f>
        <v>158648.30000000005</v>
      </c>
      <c r="G66" s="995">
        <f>G60*$C$65</f>
        <v>183066.51499999966</v>
      </c>
      <c r="I66" s="995">
        <f>I60*$C$65</f>
        <v>207902.37369999965</v>
      </c>
      <c r="K66" s="995">
        <f>K60*$C$65</f>
        <v>233159.56878387462</v>
      </c>
      <c r="M66" s="995">
        <f>M60*$C$65</f>
        <v>258841.64905829425</v>
      </c>
      <c r="O66" s="995">
        <f>O60*$C$65</f>
        <v>284952.00758899329</v>
      </c>
      <c r="Q66" s="995">
        <f>Q60*$C$65</f>
        <v>311493.86925110826</v>
      </c>
      <c r="S66" s="995">
        <v>144663</v>
      </c>
      <c r="U66" s="995"/>
      <c r="W66" s="995"/>
      <c r="Y66" s="995"/>
      <c r="AA66" s="995"/>
      <c r="AC66" s="995"/>
      <c r="AE66" s="995"/>
      <c r="AG66" s="995"/>
      <c r="AI66" s="995"/>
      <c r="AK66" s="995"/>
      <c r="AM66" s="995"/>
      <c r="AO66" s="995"/>
      <c r="AQ66" s="995"/>
      <c r="AS66" s="995"/>
      <c r="AU66" s="995"/>
      <c r="AW66" s="995"/>
      <c r="AY66" s="995"/>
      <c r="BA66" s="995"/>
      <c r="BC66" s="995"/>
      <c r="BE66" s="995"/>
      <c r="BG66" s="995"/>
      <c r="BI66" s="995"/>
      <c r="BK66" s="995"/>
    </row>
    <row r="67" spans="1:64" s="995" customFormat="1">
      <c r="A67" s="1000"/>
      <c r="B67" s="1000"/>
      <c r="C67" s="1005"/>
      <c r="E67" s="999"/>
    </row>
    <row r="68" spans="1:64" s="995" customFormat="1">
      <c r="A68" s="1000"/>
      <c r="B68" s="1000"/>
      <c r="C68" s="1005"/>
      <c r="E68" s="1000"/>
      <c r="G68" s="995">
        <f t="shared" ref="G68:AG69" si="449">E68*$C$66</f>
        <v>0</v>
      </c>
      <c r="I68" s="995">
        <f t="shared" si="449"/>
        <v>0</v>
      </c>
      <c r="K68" s="995">
        <f t="shared" si="449"/>
        <v>0</v>
      </c>
      <c r="M68" s="995">
        <f t="shared" si="449"/>
        <v>0</v>
      </c>
      <c r="O68" s="995">
        <f t="shared" si="449"/>
        <v>0</v>
      </c>
      <c r="Q68" s="995">
        <f t="shared" si="449"/>
        <v>0</v>
      </c>
      <c r="S68" s="995">
        <f t="shared" si="449"/>
        <v>0</v>
      </c>
      <c r="U68" s="995">
        <f t="shared" si="449"/>
        <v>0</v>
      </c>
      <c r="W68" s="995">
        <f t="shared" si="449"/>
        <v>0</v>
      </c>
      <c r="Y68" s="995">
        <f t="shared" si="449"/>
        <v>0</v>
      </c>
      <c r="AA68" s="995">
        <f t="shared" si="449"/>
        <v>0</v>
      </c>
      <c r="AC68" s="995">
        <f t="shared" si="449"/>
        <v>0</v>
      </c>
      <c r="AE68" s="995">
        <f t="shared" si="449"/>
        <v>0</v>
      </c>
      <c r="AG68" s="995">
        <f t="shared" si="449"/>
        <v>0</v>
      </c>
      <c r="AI68" s="995">
        <f t="shared" ref="AI68:AI69" si="450">AG68*$C$66</f>
        <v>0</v>
      </c>
      <c r="AK68" s="995">
        <f t="shared" ref="AK68:AK69" si="451">AI68*$C$66</f>
        <v>0</v>
      </c>
      <c r="AM68" s="995">
        <f t="shared" ref="AM68:AM69" si="452">AK68*$C$66</f>
        <v>0</v>
      </c>
      <c r="AO68" s="995">
        <f t="shared" ref="AO68:AO69" si="453">AM68*$C$66</f>
        <v>0</v>
      </c>
      <c r="AQ68" s="995">
        <f t="shared" ref="AQ68:AQ69" si="454">AO68*$C$66</f>
        <v>0</v>
      </c>
      <c r="AS68" s="995">
        <f t="shared" ref="AS68:AS69" si="455">AQ68*$C$66</f>
        <v>0</v>
      </c>
      <c r="AU68" s="995">
        <f t="shared" ref="AU68:AU69" si="456">AS68*$C$66</f>
        <v>0</v>
      </c>
      <c r="AW68" s="995">
        <f t="shared" ref="AW68:AW69" si="457">AU68*$C$66</f>
        <v>0</v>
      </c>
      <c r="AY68" s="995">
        <f t="shared" ref="AY68:AY69" si="458">AW68*$C$66</f>
        <v>0</v>
      </c>
      <c r="BA68" s="995">
        <f t="shared" ref="BA68:BA69" si="459">AY68*$C$66</f>
        <v>0</v>
      </c>
      <c r="BC68" s="995">
        <f t="shared" ref="BC68:BC69" si="460">BA68*$C$66</f>
        <v>0</v>
      </c>
      <c r="BE68" s="995">
        <f t="shared" ref="BE68:BE69" si="461">BC68*$C$66</f>
        <v>0</v>
      </c>
      <c r="BG68" s="995">
        <f t="shared" ref="BG68:BG69" si="462">BE68*$C$66</f>
        <v>0</v>
      </c>
      <c r="BI68" s="995">
        <f t="shared" ref="BI68:BI69" si="463">BG68*$C$66</f>
        <v>0</v>
      </c>
      <c r="BK68" s="995">
        <f t="shared" ref="BK68:BK69" si="464">BI68*$C$66</f>
        <v>0</v>
      </c>
    </row>
    <row r="69" spans="1:64" s="995" customFormat="1">
      <c r="A69" s="1000"/>
      <c r="B69" s="1000"/>
      <c r="C69" s="1005"/>
      <c r="E69" s="1002"/>
      <c r="G69" s="1003">
        <f t="shared" si="449"/>
        <v>0</v>
      </c>
      <c r="I69" s="1003">
        <f t="shared" si="449"/>
        <v>0</v>
      </c>
      <c r="K69" s="1003">
        <f t="shared" si="449"/>
        <v>0</v>
      </c>
      <c r="M69" s="1003">
        <f t="shared" si="449"/>
        <v>0</v>
      </c>
      <c r="O69" s="1003">
        <f t="shared" si="449"/>
        <v>0</v>
      </c>
      <c r="Q69" s="1003">
        <f t="shared" si="449"/>
        <v>0</v>
      </c>
      <c r="S69" s="1003">
        <f t="shared" si="449"/>
        <v>0</v>
      </c>
      <c r="U69" s="1003">
        <f t="shared" si="449"/>
        <v>0</v>
      </c>
      <c r="W69" s="1003">
        <f t="shared" si="449"/>
        <v>0</v>
      </c>
      <c r="Y69" s="1003">
        <f t="shared" si="449"/>
        <v>0</v>
      </c>
      <c r="AA69" s="1003">
        <f t="shared" si="449"/>
        <v>0</v>
      </c>
      <c r="AC69" s="1003">
        <f t="shared" si="449"/>
        <v>0</v>
      </c>
      <c r="AE69" s="1003">
        <f t="shared" si="449"/>
        <v>0</v>
      </c>
      <c r="AG69" s="1003">
        <f t="shared" si="449"/>
        <v>0</v>
      </c>
      <c r="AI69" s="1003">
        <f t="shared" si="450"/>
        <v>0</v>
      </c>
      <c r="AK69" s="1003">
        <f t="shared" si="451"/>
        <v>0</v>
      </c>
      <c r="AM69" s="1003">
        <f t="shared" si="452"/>
        <v>0</v>
      </c>
      <c r="AO69" s="1003">
        <f t="shared" si="453"/>
        <v>0</v>
      </c>
      <c r="AQ69" s="1003">
        <f t="shared" si="454"/>
        <v>0</v>
      </c>
      <c r="AS69" s="1003">
        <f t="shared" si="455"/>
        <v>0</v>
      </c>
      <c r="AU69" s="1003">
        <f t="shared" si="456"/>
        <v>0</v>
      </c>
      <c r="AW69" s="1003">
        <f t="shared" si="457"/>
        <v>0</v>
      </c>
      <c r="AY69" s="1003">
        <f t="shared" si="458"/>
        <v>0</v>
      </c>
      <c r="BA69" s="1003">
        <f t="shared" si="459"/>
        <v>0</v>
      </c>
      <c r="BC69" s="1003">
        <f t="shared" si="460"/>
        <v>0</v>
      </c>
      <c r="BE69" s="1003">
        <f t="shared" si="461"/>
        <v>0</v>
      </c>
      <c r="BG69" s="1003">
        <f t="shared" si="462"/>
        <v>0</v>
      </c>
      <c r="BI69" s="1003">
        <f t="shared" si="463"/>
        <v>0</v>
      </c>
      <c r="BK69" s="1003">
        <f t="shared" si="464"/>
        <v>0</v>
      </c>
    </row>
    <row r="70" spans="1:64" s="995" customFormat="1">
      <c r="A70" s="997" t="s">
        <v>865</v>
      </c>
      <c r="C70" s="1005"/>
      <c r="E70" s="995">
        <f>SUM(E66:E69)</f>
        <v>158648.30000000005</v>
      </c>
      <c r="G70" s="995">
        <f>SUM(G66:G69)</f>
        <v>183066.51499999966</v>
      </c>
      <c r="I70" s="995">
        <f>SUM(I66:I69)</f>
        <v>207902.37369999965</v>
      </c>
      <c r="K70" s="995">
        <f>SUM(K66:K69)</f>
        <v>233159.56878387462</v>
      </c>
      <c r="M70" s="995">
        <f>SUM(M66:M69)</f>
        <v>258841.64905829425</v>
      </c>
      <c r="O70" s="995">
        <f>SUM(O66:O69)</f>
        <v>284952.00758899329</v>
      </c>
      <c r="Q70" s="995">
        <f>SUM(Q66:Q69)</f>
        <v>311493.86925110826</v>
      </c>
      <c r="S70" s="995">
        <f>SUM(S66:S69)</f>
        <v>144663</v>
      </c>
      <c r="U70" s="995">
        <f>SUM(U66:U69)</f>
        <v>0</v>
      </c>
      <c r="W70" s="995">
        <f>SUM(W66:W69)</f>
        <v>0</v>
      </c>
      <c r="Y70" s="995">
        <f>SUM(Y66:Y69)</f>
        <v>0</v>
      </c>
      <c r="AA70" s="995">
        <f>SUM(AA66:AA69)</f>
        <v>0</v>
      </c>
      <c r="AC70" s="995">
        <f>SUM(AC66:AC69)</f>
        <v>0</v>
      </c>
      <c r="AE70" s="995">
        <f>SUM(AE66:AE69)</f>
        <v>0</v>
      </c>
      <c r="AG70" s="995">
        <f>SUM(AG66:AG69)</f>
        <v>0</v>
      </c>
      <c r="AI70" s="995">
        <f t="shared" ref="AI70" si="465">SUM(AI66:AI69)</f>
        <v>0</v>
      </c>
      <c r="AK70" s="995">
        <f t="shared" ref="AK70" si="466">SUM(AK66:AK69)</f>
        <v>0</v>
      </c>
      <c r="AM70" s="995">
        <f t="shared" ref="AM70" si="467">SUM(AM66:AM69)</f>
        <v>0</v>
      </c>
      <c r="AO70" s="995">
        <f t="shared" ref="AO70" si="468">SUM(AO66:AO69)</f>
        <v>0</v>
      </c>
      <c r="AQ70" s="995">
        <f t="shared" ref="AQ70" si="469">SUM(AQ66:AQ69)</f>
        <v>0</v>
      </c>
      <c r="AS70" s="995">
        <f t="shared" ref="AS70" si="470">SUM(AS66:AS69)</f>
        <v>0</v>
      </c>
      <c r="AU70" s="995">
        <f t="shared" ref="AU70" si="471">SUM(AU66:AU69)</f>
        <v>0</v>
      </c>
      <c r="AW70" s="995">
        <f t="shared" ref="AW70" si="472">SUM(AW66:AW69)</f>
        <v>0</v>
      </c>
      <c r="AY70" s="995">
        <f t="shared" ref="AY70" si="473">SUM(AY66:AY69)</f>
        <v>0</v>
      </c>
      <c r="BA70" s="995">
        <f t="shared" ref="BA70" si="474">SUM(BA66:BA69)</f>
        <v>0</v>
      </c>
      <c r="BC70" s="995">
        <f t="shared" ref="BC70" si="475">SUM(BC66:BC69)</f>
        <v>0</v>
      </c>
      <c r="BE70" s="995">
        <f t="shared" ref="BE70" si="476">SUM(BE66:BE69)</f>
        <v>0</v>
      </c>
      <c r="BG70" s="995">
        <f t="shared" ref="BG70" si="477">SUM(BG66:BG69)</f>
        <v>0</v>
      </c>
      <c r="BI70" s="995">
        <f t="shared" ref="BI70" si="478">SUM(BI66:BI69)</f>
        <v>0</v>
      </c>
      <c r="BK70" s="995">
        <f t="shared" ref="BK70" si="479">SUM(BK66:BK69)</f>
        <v>0</v>
      </c>
    </row>
    <row r="71" spans="1:64" s="995" customFormat="1">
      <c r="A71" s="997"/>
      <c r="C71" s="1005"/>
    </row>
    <row r="72" spans="1:64"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0.27766881021670997</v>
      </c>
      <c r="U72" s="997">
        <f>U60-U62-U70</f>
        <v>0</v>
      </c>
      <c r="W72" s="997">
        <f>W60-W62-W70</f>
        <v>0</v>
      </c>
      <c r="Y72" s="997">
        <f>Y60-Y62-Y70</f>
        <v>0</v>
      </c>
      <c r="AA72" s="997">
        <f>AA60-AA62-AA70</f>
        <v>196516.24355877331</v>
      </c>
      <c r="AC72" s="997">
        <f>AC60-AC62-AC70</f>
        <v>959925.1556974058</v>
      </c>
      <c r="AE72" s="997">
        <f>AE60-AE62-AE70</f>
        <v>1019196.4422262437</v>
      </c>
      <c r="AG72" s="997">
        <f>AG60-AG62-AG70</f>
        <v>1079366.8075605761</v>
      </c>
      <c r="AI72" s="997">
        <f t="shared" ref="AI72" si="480">AI60-AI62-AI70</f>
        <v>1140438.3340530209</v>
      </c>
      <c r="AK72" s="997">
        <f t="shared" ref="AK72" si="481">AK60-AK62-AK70</f>
        <v>1202412.4423033958</v>
      </c>
      <c r="AM72" s="997">
        <f t="shared" ref="AM72" si="482">AM60-AM62-AM70</f>
        <v>1265289.8496314967</v>
      </c>
      <c r="AO72" s="997">
        <f t="shared" ref="AO72" si="483">AO60-AO62-AO70</f>
        <v>1329070.5266372696</v>
      </c>
      <c r="AQ72" s="997">
        <f t="shared" ref="AQ72" si="484">AQ60-AQ62-AQ70</f>
        <v>1393753.6517699617</v>
      </c>
      <c r="AS72" s="997">
        <f t="shared" ref="AS72" si="485">AS60-AS62-AS70</f>
        <v>1459337.5638248064</v>
      </c>
      <c r="AU72" s="997">
        <f t="shared" ref="AU72" si="486">AU60-AU62-AU70</f>
        <v>1525819.7122826432</v>
      </c>
      <c r="AW72" s="997">
        <f t="shared" ref="AW72" si="487">AW60-AW62-AW70</f>
        <v>1593196.6054046052</v>
      </c>
      <c r="AY72" s="997">
        <f t="shared" ref="AY72" si="488">AY60-AY62-AY70</f>
        <v>1661463.7559906365</v>
      </c>
      <c r="BA72" s="997">
        <f t="shared" ref="BA72" si="489">BA60-BA62-BA70</f>
        <v>1730615.6247070991</v>
      </c>
      <c r="BC72" s="997">
        <f t="shared" ref="BC72" si="490">BC60-BC62-BC70</f>
        <v>1800645.5608850587</v>
      </c>
      <c r="BE72" s="997">
        <f t="shared" ref="BE72" si="491">BE60-BE62-BE70</f>
        <v>1871545.7406870793</v>
      </c>
      <c r="BG72" s="997">
        <f t="shared" ref="BG72" si="492">BG60-BG62-BG70</f>
        <v>1943307.102536445</v>
      </c>
      <c r="BI72" s="997">
        <f t="shared" ref="BI72" si="493">BI60-BI62-BI70</f>
        <v>2015919.2796986708</v>
      </c>
      <c r="BK72" s="997">
        <f t="shared" ref="BK72" si="494">BK60-BK62-BK70</f>
        <v>2089370.5299009117</v>
      </c>
    </row>
    <row r="73" spans="1:64" s="995" customFormat="1">
      <c r="A73" s="563"/>
      <c r="C73" s="1005"/>
    </row>
    <row r="74" spans="1:64" s="233" customFormat="1">
      <c r="A74" s="563"/>
      <c r="B74" s="995" t="s">
        <v>2783</v>
      </c>
      <c r="C74" s="1005"/>
      <c r="D74" s="995"/>
      <c r="E74" s="995">
        <f>Application!AO628</f>
        <v>1600000</v>
      </c>
      <c r="F74" s="995"/>
      <c r="G74" s="995">
        <f>(E74-E66)*1.03</f>
        <v>1484592.2509999999</v>
      </c>
      <c r="H74" s="995"/>
      <c r="I74" s="995">
        <f>(G74-G66)*1.03</f>
        <v>1340571.5080800003</v>
      </c>
      <c r="J74" s="995"/>
      <c r="K74" s="995">
        <f>(I74-I66)*1.03</f>
        <v>1166649.2084114007</v>
      </c>
      <c r="L74" s="995"/>
      <c r="M74" s="995">
        <f>(K74-K66)*1.03</f>
        <v>961494.32881635183</v>
      </c>
      <c r="N74" s="995"/>
      <c r="O74" s="995">
        <f>(M74-M66)*1.03</f>
        <v>723732.26015079929</v>
      </c>
      <c r="P74" s="995"/>
      <c r="Q74" s="995">
        <f>(O74-O66)*1.03</f>
        <v>451943.66013866017</v>
      </c>
      <c r="R74" s="995"/>
      <c r="S74" s="995">
        <f>(Q74-Q66)*1.03</f>
        <v>144663.28461417847</v>
      </c>
      <c r="T74" s="995"/>
      <c r="U74" s="995">
        <f>(S74-S66)*1.03</f>
        <v>0.29315260382252745</v>
      </c>
    </row>
    <row r="75" spans="1:64" s="233" customFormat="1">
      <c r="A75" s="995" t="s">
        <v>1913</v>
      </c>
      <c r="C75" s="192"/>
    </row>
    <row r="76" spans="1:64" s="233" customFormat="1">
      <c r="C76" s="192"/>
    </row>
    <row r="77" spans="1:64" s="250" customFormat="1" ht="30" customHeight="1">
      <c r="A77" s="2676" t="s">
        <v>1912</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64" s="230" customFormat="1" hidden="1">
      <c r="C78" s="232"/>
    </row>
    <row r="79" spans="1:64" s="230" customFormat="1" hidden="1">
      <c r="C79" s="232"/>
    </row>
    <row r="80" spans="1:64"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176"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8" zoomScale="85" zoomScaleNormal="85" workbookViewId="0">
      <selection activeCell="H95" sqref="H95"/>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3440000</v>
      </c>
      <c r="C5" s="286">
        <f>'Sources and Uses Budget'!$C4</f>
        <v>3440000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50000</v>
      </c>
      <c r="C7" s="286">
        <f>'Sources and Uses Budget'!$C6</f>
        <v>50000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3490000</v>
      </c>
      <c r="C9" s="290">
        <f>SUM(C5:C8)</f>
        <v>3490000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3490000</v>
      </c>
      <c r="C13" s="290">
        <f>SUM(C9+C12)</f>
        <v>3490000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8754167</v>
      </c>
      <c r="C30" s="286">
        <f>'Sources and Uses Budget'!$C29</f>
        <v>8754167</v>
      </c>
      <c r="D30" s="290">
        <f t="shared" si="0"/>
        <v>0</v>
      </c>
      <c r="E30" s="288"/>
      <c r="F30" s="287"/>
      <c r="G30" s="383"/>
    </row>
    <row r="31" spans="1:7" s="380" customFormat="1">
      <c r="A31" s="145" t="s">
        <v>608</v>
      </c>
      <c r="B31" s="286">
        <f>'Sources and Uses Budget'!$C30</f>
        <v>27797390</v>
      </c>
      <c r="C31" s="286">
        <f>'Sources and Uses Budget'!$C30</f>
        <v>27797390</v>
      </c>
      <c r="D31" s="290">
        <f t="shared" si="0"/>
        <v>0</v>
      </c>
      <c r="E31" s="288"/>
      <c r="F31" s="287"/>
      <c r="G31" s="383"/>
    </row>
    <row r="32" spans="1:7" s="380" customFormat="1">
      <c r="A32" s="145" t="s">
        <v>609</v>
      </c>
      <c r="B32" s="286">
        <f>'Sources and Uses Budget'!$C31</f>
        <v>2401003</v>
      </c>
      <c r="C32" s="286">
        <f>'Sources and Uses Budget'!$C31</f>
        <v>2401003</v>
      </c>
      <c r="D32" s="290">
        <f t="shared" si="0"/>
        <v>0</v>
      </c>
      <c r="E32" s="288"/>
      <c r="F32" s="287"/>
      <c r="G32" s="383"/>
    </row>
    <row r="33" spans="1:7" s="380" customFormat="1">
      <c r="A33" s="145" t="s">
        <v>137</v>
      </c>
      <c r="B33" s="286">
        <f>'Sources and Uses Budget'!$C32</f>
        <v>500000</v>
      </c>
      <c r="C33" s="286">
        <f>'Sources and Uses Budget'!$C32</f>
        <v>500000</v>
      </c>
      <c r="D33" s="290">
        <f t="shared" si="0"/>
        <v>0</v>
      </c>
      <c r="E33" s="288"/>
      <c r="F33" s="287"/>
      <c r="G33" s="383"/>
    </row>
    <row r="34" spans="1:7" s="380" customFormat="1">
      <c r="A34" s="145" t="s">
        <v>138</v>
      </c>
      <c r="B34" s="286">
        <f>'Sources and Uses Budget'!$C33</f>
        <v>2000836</v>
      </c>
      <c r="C34" s="286">
        <f>'Sources and Uses Budget'!$C33</f>
        <v>2000836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350000</v>
      </c>
      <c r="C36" s="286">
        <f>'Sources and Uses Budget'!$C35</f>
        <v>350000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(P&amp;P)</v>
      </c>
      <c r="B38" s="286">
        <f>'Sources and Uses Budget'!$C37</f>
        <v>450000</v>
      </c>
      <c r="C38" s="286">
        <f>'Sources and Uses Budget'!$C37</f>
        <v>450000</v>
      </c>
      <c r="D38" s="290">
        <f t="shared" si="0"/>
        <v>0</v>
      </c>
      <c r="E38" s="288"/>
      <c r="F38" s="287"/>
      <c r="G38" s="383"/>
    </row>
    <row r="39" spans="1:7" s="380" customFormat="1">
      <c r="A39" s="291" t="s">
        <v>143</v>
      </c>
      <c r="B39" s="290">
        <f>SUM(B30:B38)</f>
        <v>42253396</v>
      </c>
      <c r="C39" s="290">
        <f>SUM(C30:C38)</f>
        <v>42253396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425000</v>
      </c>
      <c r="C41" s="286">
        <f>'Sources and Uses Budget'!$C40</f>
        <v>425000</v>
      </c>
      <c r="D41" s="290">
        <f t="shared" si="0"/>
        <v>0</v>
      </c>
      <c r="E41" s="288"/>
      <c r="F41" s="287"/>
      <c r="G41" s="383"/>
    </row>
    <row r="42" spans="1:7" s="380" customFormat="1">
      <c r="A42" s="289" t="s">
        <v>146</v>
      </c>
      <c r="B42" s="286">
        <f>'Sources and Uses Budget'!$C41</f>
        <v>425000</v>
      </c>
      <c r="C42" s="286">
        <f>'Sources and Uses Budget'!$C41</f>
        <v>425000</v>
      </c>
      <c r="D42" s="290">
        <f t="shared" si="0"/>
        <v>0</v>
      </c>
      <c r="E42" s="288"/>
      <c r="F42" s="287"/>
      <c r="G42" s="383"/>
    </row>
    <row r="43" spans="1:7" s="380" customFormat="1">
      <c r="A43" s="291" t="s">
        <v>147</v>
      </c>
      <c r="B43" s="290">
        <f>SUM(B41:B42)</f>
        <v>850000</v>
      </c>
      <c r="C43" s="290">
        <f>SUM(C41:C42)</f>
        <v>850000</v>
      </c>
      <c r="D43" s="290">
        <f t="shared" si="0"/>
        <v>0</v>
      </c>
      <c r="E43" s="288"/>
      <c r="F43" s="287"/>
      <c r="G43" s="383"/>
    </row>
    <row r="44" spans="1:7" s="380" customFormat="1">
      <c r="A44" s="291" t="s">
        <v>148</v>
      </c>
      <c r="B44" s="286">
        <f>'Sources and Uses Budget'!$C43</f>
        <v>750000</v>
      </c>
      <c r="C44" s="286">
        <f>'Sources and Uses Budget'!$C43</f>
        <v>750000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3800000</v>
      </c>
      <c r="C46" s="286">
        <f>'Sources and Uses Budget'!$C45</f>
        <v>3800000</v>
      </c>
      <c r="D46" s="290">
        <f t="shared" si="0"/>
        <v>0</v>
      </c>
      <c r="E46" s="288"/>
      <c r="F46" s="287"/>
      <c r="G46" s="383"/>
    </row>
    <row r="47" spans="1:7" s="380" customFormat="1">
      <c r="A47" s="145" t="s">
        <v>151</v>
      </c>
      <c r="B47" s="286">
        <f>'Sources and Uses Budget'!$C46</f>
        <v>475000</v>
      </c>
      <c r="C47" s="286">
        <f>'Sources and Uses Budget'!$C46</f>
        <v>475000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85000</v>
      </c>
      <c r="C53" s="286">
        <f>'Sources and Uses Budget'!$C52</f>
        <v>85000</v>
      </c>
      <c r="D53" s="290">
        <f t="shared" si="0"/>
        <v>0</v>
      </c>
      <c r="E53" s="288"/>
      <c r="F53" s="287"/>
      <c r="G53" s="383"/>
    </row>
    <row r="54" spans="1:7" s="380" customFormat="1">
      <c r="A54" s="155" t="str">
        <f>'Sources and Uses Budget'!A53</f>
        <v>Other: (Construction Monitoring)</v>
      </c>
      <c r="B54" s="286">
        <f>'Sources and Uses Budget'!$C53</f>
        <v>91000</v>
      </c>
      <c r="C54" s="286">
        <f>'Sources and Uses Budget'!$C53</f>
        <v>91000</v>
      </c>
      <c r="D54" s="290">
        <f t="shared" si="0"/>
        <v>0</v>
      </c>
      <c r="E54" s="288"/>
      <c r="F54" s="287"/>
      <c r="G54" s="383"/>
    </row>
    <row r="55" spans="1:7" s="381" customFormat="1">
      <c r="A55" s="291" t="s">
        <v>157</v>
      </c>
      <c r="B55" s="293">
        <f>SUM(B46:B54)</f>
        <v>4651000</v>
      </c>
      <c r="C55" s="293">
        <f>SUM(C46:C54)</f>
        <v>4651000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443500</v>
      </c>
      <c r="C57" s="286">
        <f>'Sources and Uses Budget'!$C56</f>
        <v>443500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(Other Perm Loan Fees)</v>
      </c>
      <c r="B62" s="286">
        <f>'Sources and Uses Budget'!$C61</f>
        <v>130250</v>
      </c>
      <c r="C62" s="286">
        <f>'Sources and Uses Budget'!$C61</f>
        <v>130250</v>
      </c>
      <c r="D62" s="290">
        <f t="shared" si="0"/>
        <v>0</v>
      </c>
      <c r="E62" s="288"/>
      <c r="F62" s="287"/>
      <c r="G62" s="383"/>
    </row>
    <row r="63" spans="1:7" s="380" customFormat="1" ht="13.7" customHeight="1">
      <c r="A63" s="291" t="s">
        <v>302</v>
      </c>
      <c r="B63" s="290">
        <f>SUM(B57:B62)</f>
        <v>573750</v>
      </c>
      <c r="C63" s="290">
        <f>SUM(C57:C62)</f>
        <v>573750</v>
      </c>
      <c r="D63" s="290">
        <f t="shared" si="0"/>
        <v>0</v>
      </c>
      <c r="E63" s="288"/>
      <c r="F63" s="287"/>
      <c r="G63" s="383"/>
    </row>
    <row r="64" spans="1:7" s="380" customFormat="1">
      <c r="A64" s="294" t="s">
        <v>303</v>
      </c>
      <c r="B64" s="290">
        <f>SUM(B9+B12+B14+B15+B17+B26+B28+B39+B43+B44+B55+B63)</f>
        <v>52568146</v>
      </c>
      <c r="C64" s="290">
        <f>SUM(C9+C12+C14+C15+C17+C26+C28+C39+C43+C44+C55+C63)</f>
        <v>52568146</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140000</v>
      </c>
      <c r="C66" s="286">
        <f>'Sources and Uses Budget'!$C65</f>
        <v>140000</v>
      </c>
      <c r="D66" s="290">
        <f t="shared" si="0"/>
        <v>0</v>
      </c>
      <c r="E66" s="288"/>
      <c r="F66" s="287"/>
      <c r="G66" s="383"/>
    </row>
    <row r="67" spans="1:7" s="380" customFormat="1" ht="24">
      <c r="A67" s="304" t="s">
        <v>1755</v>
      </c>
      <c r="B67" s="286">
        <f>'Sources and Uses Budget'!$C66</f>
        <v>50000</v>
      </c>
      <c r="C67" s="286">
        <f>'Sources and Uses Budget'!$C66</f>
        <v>50000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(Developer Legal)</v>
      </c>
      <c r="B70" s="286">
        <f>'Sources and Uses Budget'!$C69</f>
        <v>455000</v>
      </c>
      <c r="C70" s="286">
        <f>'Sources and Uses Budget'!$C69</f>
        <v>455000</v>
      </c>
      <c r="D70" s="290">
        <f t="shared" si="0"/>
        <v>0</v>
      </c>
      <c r="E70" s="288"/>
      <c r="F70" s="287"/>
      <c r="G70" s="383"/>
    </row>
    <row r="71" spans="1:7" s="380" customFormat="1">
      <c r="A71" s="149" t="s">
        <v>1759</v>
      </c>
      <c r="B71" s="290">
        <f>SUM(B66:B70)</f>
        <v>645000</v>
      </c>
      <c r="C71" s="290">
        <f>SUM(C66:C70)</f>
        <v>645000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1061398</v>
      </c>
      <c r="C76" s="286">
        <f>'Sources and Uses Budget'!$C75</f>
        <v>1061398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1061398</v>
      </c>
      <c r="C78" s="290">
        <f>SUM(C73:C77)</f>
        <v>1061398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3465156</v>
      </c>
      <c r="C80" s="286">
        <f>'Sources and Uses Budget'!$C79</f>
        <v>3465156</v>
      </c>
      <c r="D80" s="290">
        <f t="shared" si="1"/>
        <v>0</v>
      </c>
      <c r="E80" s="288"/>
      <c r="F80" s="287"/>
      <c r="G80" s="383"/>
    </row>
    <row r="81" spans="1:7" s="380" customFormat="1">
      <c r="A81" s="544" t="s">
        <v>58</v>
      </c>
      <c r="B81" s="286">
        <f>'Sources and Uses Budget'!$C80</f>
        <v>823891</v>
      </c>
      <c r="C81" s="286">
        <f>'Sources and Uses Budget'!$C80</f>
        <v>823891</v>
      </c>
      <c r="D81" s="290">
        <f>C81-B81</f>
        <v>0</v>
      </c>
      <c r="E81" s="288"/>
      <c r="F81" s="287"/>
      <c r="G81" s="383"/>
    </row>
    <row r="82" spans="1:7" s="380" customFormat="1">
      <c r="A82" s="291" t="s">
        <v>1316</v>
      </c>
      <c r="B82" s="290">
        <f>SUM(B80:B81)</f>
        <v>4289047</v>
      </c>
      <c r="C82" s="290">
        <f>SUM(C80:C81)</f>
        <v>4289047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170000</v>
      </c>
      <c r="C84" s="286">
        <f>'Sources and Uses Budget'!$C83</f>
        <v>170000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4500500</v>
      </c>
      <c r="C86" s="286">
        <f>'Sources and Uses Budget'!$C85</f>
        <v>4500500</v>
      </c>
      <c r="D86" s="290">
        <f t="shared" si="1"/>
        <v>0</v>
      </c>
      <c r="E86" s="288"/>
      <c r="F86" s="287"/>
      <c r="G86" s="383"/>
    </row>
    <row r="87" spans="1:7" s="380" customFormat="1">
      <c r="A87" s="289" t="s">
        <v>779</v>
      </c>
      <c r="B87" s="286">
        <f>'Sources and Uses Budget'!$C86</f>
        <v>500000</v>
      </c>
      <c r="C87" s="286">
        <f>'Sources and Uses Budget'!$C86</f>
        <v>500000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200000</v>
      </c>
      <c r="C90" s="286">
        <f>'Sources and Uses Budget'!$C89</f>
        <v>200000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5420500</v>
      </c>
      <c r="C97" s="290">
        <f>SUM(C84:C96)</f>
        <v>5420500</v>
      </c>
      <c r="D97" s="290">
        <f t="shared" si="1"/>
        <v>0</v>
      </c>
      <c r="E97" s="288"/>
      <c r="F97" s="287"/>
      <c r="G97" s="383"/>
    </row>
    <row r="98" spans="1:7" s="380" customFormat="1">
      <c r="A98" s="291" t="s">
        <v>785</v>
      </c>
      <c r="B98" s="290">
        <f>SUM(B64+B71+B78+B82+B97)</f>
        <v>63984091</v>
      </c>
      <c r="C98" s="290">
        <f>SUM(C64+C71+C78+C82+C97)</f>
        <v>63984091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6500000</v>
      </c>
      <c r="C100" s="286">
        <f>'Sources and Uses Budget'!$C99</f>
        <v>6500000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6500000</v>
      </c>
      <c r="C105" s="290">
        <f>SUM(C100:C104)</f>
        <v>6500000</v>
      </c>
      <c r="D105" s="290">
        <f t="shared" si="1"/>
        <v>0</v>
      </c>
      <c r="E105" s="288"/>
      <c r="F105" s="287"/>
      <c r="G105" s="383"/>
    </row>
    <row r="106" spans="1:7" s="380" customFormat="1">
      <c r="A106" s="291" t="s">
        <v>790</v>
      </c>
      <c r="B106" s="293">
        <f>SUM(B98+B105)</f>
        <v>70484091</v>
      </c>
      <c r="C106" s="293">
        <f>SUM(C98+C105)</f>
        <v>70484091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2358</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2356</v>
      </c>
      <c r="B73" s="1273"/>
      <c r="C73" s="1273"/>
      <c r="D73" s="1273"/>
      <c r="E73" s="1273"/>
    </row>
    <row r="74" spans="1:9" ht="12.75">
      <c r="A74" s="1273" t="s">
        <v>2357</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93" workbookViewId="0">
      <selection activeCell="F1121" sqref="F112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2799</v>
      </c>
      <c r="C15" s="517"/>
      <c r="D15" s="1281" t="s">
        <v>2219</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4.25">
      <c r="A20" s="518"/>
      <c r="B20" s="519" t="s">
        <v>2799</v>
      </c>
      <c r="D20" s="1281" t="s">
        <v>2220</v>
      </c>
      <c r="E20" s="1281"/>
      <c r="F20" s="1281"/>
      <c r="I20" s="524" t="s">
        <v>2075</v>
      </c>
    </row>
    <row r="21" spans="1:9" ht="14.25">
      <c r="A21" s="518"/>
      <c r="D21" s="1281"/>
      <c r="E21" s="1281"/>
      <c r="F21" s="1281"/>
      <c r="I21" s="524"/>
    </row>
    <row r="22" spans="1:9" ht="14.25">
      <c r="A22" s="518"/>
      <c r="D22" s="423"/>
      <c r="E22" s="96" t="s">
        <v>2216</v>
      </c>
      <c r="F22" s="423"/>
      <c r="I22" s="524"/>
    </row>
    <row r="23" spans="1:9" ht="14.25">
      <c r="A23" s="518"/>
      <c r="B23" s="518"/>
      <c r="D23" s="480"/>
      <c r="I23" s="524"/>
    </row>
    <row r="24" spans="1:9" ht="14.25">
      <c r="A24" s="518"/>
      <c r="B24" s="519" t="s">
        <v>2800</v>
      </c>
      <c r="D24" s="1281" t="s">
        <v>1154</v>
      </c>
      <c r="E24" s="1281"/>
      <c r="F24" s="1281"/>
      <c r="I24" s="524" t="s">
        <v>2075</v>
      </c>
    </row>
    <row r="25" spans="1:9" ht="14.25">
      <c r="A25" s="518"/>
      <c r="B25" s="518"/>
      <c r="D25" s="1281"/>
      <c r="E25" s="1281"/>
      <c r="F25" s="1281"/>
      <c r="I25" s="524"/>
    </row>
    <row r="26" spans="1:9">
      <c r="I26" s="524"/>
    </row>
    <row r="27" spans="1:9" ht="14.25">
      <c r="A27" s="518"/>
      <c r="B27" s="519" t="s">
        <v>2799</v>
      </c>
      <c r="D27" s="1281" t="s">
        <v>2359</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2799</v>
      </c>
      <c r="D33" s="1281" t="s">
        <v>2360</v>
      </c>
      <c r="E33" s="1281"/>
      <c r="F33" s="1281"/>
      <c r="I33" s="524" t="s">
        <v>2074</v>
      </c>
    </row>
    <row r="34" spans="1:9">
      <c r="D34" s="1281"/>
      <c r="E34" s="1281"/>
      <c r="F34" s="1281"/>
      <c r="I34" s="524"/>
    </row>
    <row r="35" spans="1:9" ht="14.25">
      <c r="A35" s="518"/>
      <c r="B35" s="518"/>
      <c r="D35" s="481"/>
      <c r="I35" s="524"/>
    </row>
    <row r="36" spans="1:9" ht="14.45" customHeight="1">
      <c r="A36" s="518"/>
      <c r="B36" s="519" t="s">
        <v>2799</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2800</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2799</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2800</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2799</v>
      </c>
      <c r="D56" s="1337" t="s">
        <v>1161</v>
      </c>
      <c r="E56" s="1337"/>
      <c r="F56" s="1337"/>
      <c r="I56" s="524"/>
    </row>
    <row r="57" spans="1:9" ht="14.25">
      <c r="A57" s="518"/>
      <c r="B57" s="518"/>
      <c r="D57" s="1337"/>
      <c r="E57" s="1337"/>
      <c r="F57" s="1337"/>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2800</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2800</v>
      </c>
      <c r="D65" s="1281" t="s">
        <v>1163</v>
      </c>
      <c r="E65" s="1281"/>
      <c r="F65" s="1281"/>
      <c r="I65" s="524" t="s">
        <v>2077</v>
      </c>
    </row>
    <row r="66" spans="1:9">
      <c r="D66" s="1281"/>
      <c r="E66" s="1281"/>
      <c r="F66" s="1281"/>
      <c r="I66" s="524"/>
    </row>
    <row r="67" spans="1:9">
      <c r="I67" s="524"/>
    </row>
    <row r="68" spans="1:9" ht="14.25">
      <c r="A68" s="518"/>
      <c r="B68" s="519" t="s">
        <v>2799</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2799</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2799</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2799</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2799</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2799</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2221</v>
      </c>
      <c r="F98" s="479"/>
      <c r="I98" s="524"/>
    </row>
    <row r="99" spans="1:9" ht="14.25">
      <c r="A99" s="518"/>
      <c r="B99" s="518"/>
      <c r="D99" s="416"/>
      <c r="E99" s="416"/>
      <c r="F99" s="416"/>
      <c r="I99" s="524"/>
    </row>
    <row r="100" spans="1:9" ht="14.25">
      <c r="A100" s="518"/>
      <c r="B100" s="519" t="s">
        <v>2800</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2800</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2800</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2799</v>
      </c>
      <c r="C128" s="433"/>
      <c r="D128" s="1308" t="s">
        <v>2361</v>
      </c>
      <c r="E128" s="1308"/>
      <c r="F128" s="1308"/>
      <c r="I128" s="524" t="s">
        <v>2084</v>
      </c>
    </row>
    <row r="129" spans="1:9" ht="14.25">
      <c r="A129" s="518"/>
      <c r="B129" s="518"/>
      <c r="C129" s="433"/>
      <c r="D129" s="1308"/>
      <c r="E129" s="1308"/>
      <c r="F129" s="1308"/>
      <c r="I129" s="524"/>
    </row>
    <row r="130" spans="1:9">
      <c r="I130" s="524"/>
    </row>
    <row r="131" spans="1:9" ht="14.25">
      <c r="A131" s="518"/>
      <c r="B131" s="519" t="s">
        <v>2799</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2799</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2800</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2385</v>
      </c>
      <c r="E169" s="1339"/>
      <c r="F169" s="1339"/>
      <c r="G169" s="541"/>
      <c r="I169" s="524"/>
    </row>
    <row r="170" spans="1:9" ht="13.7" customHeight="1">
      <c r="D170" s="1314"/>
      <c r="E170" s="1314"/>
      <c r="F170" s="1314"/>
      <c r="G170" s="1314"/>
      <c r="I170" s="524"/>
    </row>
    <row r="171" spans="1:9" ht="14.45" customHeight="1">
      <c r="A171" s="523"/>
      <c r="B171" s="519" t="s">
        <v>2800</v>
      </c>
      <c r="C171" s="510"/>
      <c r="D171" s="1269" t="s">
        <v>2575</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2799</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2800</v>
      </c>
      <c r="D182" s="1303" t="s">
        <v>2362</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2363</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2800</v>
      </c>
      <c r="D197" s="1286" t="s">
        <v>1938</v>
      </c>
      <c r="E197" s="1286"/>
      <c r="F197" s="1286"/>
      <c r="I197" s="524" t="s">
        <v>2137</v>
      </c>
    </row>
    <row r="198" spans="1:9">
      <c r="A198" s="435"/>
      <c r="B198" s="435"/>
      <c r="D198" s="1290" t="s">
        <v>2199</v>
      </c>
      <c r="E198" s="1290"/>
      <c r="F198" s="1290"/>
      <c r="I198" s="524"/>
    </row>
    <row r="199" spans="1:9">
      <c r="A199" s="435"/>
      <c r="B199" s="435"/>
      <c r="D199" s="96" t="s">
        <v>1939</v>
      </c>
      <c r="E199" s="1338" t="s">
        <v>2222</v>
      </c>
      <c r="F199" s="1338"/>
      <c r="I199" s="524"/>
    </row>
    <row r="200" spans="1:9">
      <c r="A200" s="435"/>
      <c r="B200" s="435"/>
      <c r="D200" s="3"/>
      <c r="E200" s="3"/>
      <c r="F200" s="3"/>
      <c r="I200" s="524"/>
    </row>
    <row r="201" spans="1:9">
      <c r="A201" s="435"/>
      <c r="B201" s="519" t="s">
        <v>2800</v>
      </c>
      <c r="D201" s="1290" t="s">
        <v>1940</v>
      </c>
      <c r="E201" s="1290"/>
      <c r="F201" s="1290"/>
      <c r="I201" s="524" t="s">
        <v>2138</v>
      </c>
    </row>
    <row r="202" spans="1:9">
      <c r="A202" s="435"/>
      <c r="B202" s="435"/>
      <c r="D202" s="1286" t="s">
        <v>2199</v>
      </c>
      <c r="E202" s="1286"/>
      <c r="F202" s="1286"/>
      <c r="I202" s="524"/>
    </row>
    <row r="203" spans="1:9">
      <c r="A203" s="435"/>
      <c r="B203" s="435"/>
      <c r="D203" s="57" t="s">
        <v>1941</v>
      </c>
      <c r="E203" s="1338" t="s">
        <v>2223</v>
      </c>
      <c r="F203" s="1338"/>
      <c r="I203" s="524"/>
    </row>
    <row r="204" spans="1:9">
      <c r="A204" s="435"/>
      <c r="B204" s="435"/>
      <c r="D204" s="3"/>
      <c r="E204" s="3"/>
      <c r="F204" s="3"/>
      <c r="I204" s="524"/>
    </row>
    <row r="205" spans="1:9">
      <c r="A205" s="435"/>
      <c r="B205" s="519" t="s">
        <v>2800</v>
      </c>
      <c r="D205" s="1290" t="s">
        <v>1942</v>
      </c>
      <c r="E205" s="1290"/>
      <c r="F205" s="1290"/>
      <c r="I205" s="524" t="s">
        <v>2139</v>
      </c>
    </row>
    <row r="206" spans="1:9">
      <c r="A206" s="435"/>
      <c r="B206" s="435"/>
      <c r="D206" s="1286" t="s">
        <v>2199</v>
      </c>
      <c r="E206" s="1286"/>
      <c r="F206" s="1286"/>
      <c r="I206" s="524"/>
    </row>
    <row r="207" spans="1:9">
      <c r="A207" s="435"/>
      <c r="B207" s="435"/>
      <c r="D207" s="57" t="s">
        <v>1939</v>
      </c>
      <c r="E207" s="1338" t="s">
        <v>2224</v>
      </c>
      <c r="F207" s="1338"/>
      <c r="I207" s="524"/>
    </row>
    <row r="208" spans="1:9">
      <c r="A208" s="435"/>
      <c r="B208" s="435"/>
      <c r="D208" s="423"/>
      <c r="E208" s="423"/>
      <c r="F208" s="423"/>
      <c r="I208" s="524"/>
    </row>
    <row r="209" spans="1:9" ht="14.25" customHeight="1">
      <c r="A209" s="518"/>
      <c r="B209" s="519" t="s">
        <v>2800</v>
      </c>
      <c r="D209" s="417" t="s">
        <v>2192</v>
      </c>
      <c r="E209" s="416"/>
      <c r="F209" s="416"/>
      <c r="I209" s="524" t="s">
        <v>2140</v>
      </c>
    </row>
    <row r="210" spans="1:9" ht="14.25">
      <c r="A210" s="518"/>
      <c r="B210" s="518"/>
      <c r="D210" s="1286" t="s">
        <v>2199</v>
      </c>
      <c r="E210" s="1286"/>
      <c r="F210" s="1286"/>
      <c r="I210" s="524"/>
    </row>
    <row r="211" spans="1:9">
      <c r="D211" s="416"/>
      <c r="E211" s="1338" t="s">
        <v>2225</v>
      </c>
      <c r="F211" s="1338"/>
      <c r="I211" s="524"/>
    </row>
    <row r="212" spans="1:9">
      <c r="D212" s="481"/>
      <c r="I212" s="524"/>
    </row>
    <row r="213" spans="1:9">
      <c r="B213" s="519" t="s">
        <v>2800</v>
      </c>
      <c r="D213" s="1290" t="s">
        <v>1943</v>
      </c>
      <c r="E213" s="1290"/>
      <c r="F213" s="1290"/>
      <c r="I213" s="524" t="s">
        <v>2141</v>
      </c>
    </row>
    <row r="214" spans="1:9">
      <c r="D214" s="1286" t="s">
        <v>2199</v>
      </c>
      <c r="E214" s="1286"/>
      <c r="F214" s="1286"/>
      <c r="I214" s="524"/>
    </row>
    <row r="215" spans="1:9">
      <c r="D215" s="57" t="s">
        <v>1939</v>
      </c>
      <c r="E215" s="1338" t="s">
        <v>2226</v>
      </c>
      <c r="F215" s="1338"/>
      <c r="I215" s="524"/>
    </row>
    <row r="216" spans="1:9">
      <c r="D216" s="485"/>
      <c r="E216" s="485"/>
      <c r="F216" s="485"/>
      <c r="I216" s="524"/>
    </row>
    <row r="217" spans="1:9" ht="14.25">
      <c r="A217" s="518"/>
      <c r="B217" s="519" t="s">
        <v>2800</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2799</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2799</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2800</v>
      </c>
      <c r="D245" s="1281" t="s">
        <v>2364</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2800</v>
      </c>
      <c r="D250" s="1281" t="s">
        <v>2365</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2799</v>
      </c>
      <c r="D256" s="423" t="s">
        <v>2366</v>
      </c>
      <c r="E256" s="479"/>
      <c r="F256" s="479"/>
      <c r="I256" s="524" t="s">
        <v>2127</v>
      </c>
    </row>
    <row r="257" spans="1:9" ht="14.25">
      <c r="A257" s="518"/>
      <c r="B257" s="518"/>
      <c r="E257" s="1071" t="s">
        <v>2194</v>
      </c>
      <c r="I257" s="524"/>
    </row>
    <row r="258" spans="1:9">
      <c r="D258" s="480"/>
      <c r="E258" s="480"/>
      <c r="F258" s="480"/>
      <c r="I258" s="524"/>
    </row>
    <row r="259" spans="1:9" ht="14.25">
      <c r="A259" s="518"/>
      <c r="B259" s="519" t="s">
        <v>2799</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2800</v>
      </c>
      <c r="D267" s="1281" t="s">
        <v>1303</v>
      </c>
      <c r="E267" s="1281"/>
      <c r="F267" s="1281"/>
      <c r="I267" s="524"/>
    </row>
    <row r="268" spans="1:9">
      <c r="D268" s="1281"/>
      <c r="E268" s="1281"/>
      <c r="F268" s="1281"/>
      <c r="I268" s="524"/>
    </row>
    <row r="269" spans="1:9">
      <c r="E269" s="1071" t="s">
        <v>2195</v>
      </c>
      <c r="I269" s="524"/>
    </row>
    <row r="270" spans="1:9">
      <c r="D270" s="480"/>
      <c r="E270" s="480"/>
      <c r="F270" s="480"/>
      <c r="I270" s="524"/>
    </row>
    <row r="271" spans="1:9" ht="14.45" customHeight="1">
      <c r="A271" s="518"/>
      <c r="B271" s="519" t="s">
        <v>2800</v>
      </c>
      <c r="D271" s="1281" t="s">
        <v>2367</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2800</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2800</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2800</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2800</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2799</v>
      </c>
      <c r="D305" s="1310" t="s">
        <v>1216</v>
      </c>
      <c r="E305" s="1310"/>
      <c r="F305" s="1310"/>
      <c r="I305" s="524" t="s">
        <v>2092</v>
      </c>
    </row>
    <row r="306" spans="1:9" ht="14.25">
      <c r="A306" s="518"/>
      <c r="B306" s="518"/>
      <c r="D306" s="528"/>
      <c r="E306" s="529"/>
      <c r="F306" s="529"/>
      <c r="I306" s="524"/>
    </row>
    <row r="307" spans="1:9" ht="13.7" customHeight="1">
      <c r="B307" s="519" t="s">
        <v>2800</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2800</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2799</v>
      </c>
      <c r="D316" s="1310" t="s">
        <v>1219</v>
      </c>
      <c r="E316" s="1310"/>
      <c r="F316" s="1310"/>
      <c r="I316" s="524" t="s">
        <v>2078</v>
      </c>
    </row>
    <row r="317" spans="1:9">
      <c r="E317" s="480"/>
      <c r="F317" s="480"/>
      <c r="I317" s="524"/>
    </row>
    <row r="318" spans="1:9" ht="14.25">
      <c r="A318" s="518"/>
      <c r="B318" s="519" t="s">
        <v>2800</v>
      </c>
      <c r="D318" s="1281" t="s">
        <v>2386</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2800</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2800</v>
      </c>
      <c r="D344" s="1281" t="s">
        <v>2200</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2800</v>
      </c>
      <c r="C355" s="521"/>
      <c r="D355" s="1310" t="s">
        <v>2198</v>
      </c>
      <c r="E355" s="1310"/>
      <c r="F355" s="1310"/>
      <c r="I355" s="1328" t="s">
        <v>2144</v>
      </c>
    </row>
    <row r="356" spans="1:9" ht="12.75" customHeight="1">
      <c r="D356" s="1072"/>
      <c r="E356" s="96" t="s">
        <v>2197</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2800</v>
      </c>
      <c r="C360" s="510"/>
      <c r="D360" s="1314" t="s">
        <v>2368</v>
      </c>
      <c r="E360" s="1314"/>
      <c r="F360" s="1314"/>
      <c r="I360" s="514"/>
    </row>
    <row r="361" spans="1:9">
      <c r="A361" s="510"/>
      <c r="B361" s="510"/>
      <c r="C361" s="510"/>
      <c r="D361" s="481"/>
      <c r="E361" s="481"/>
      <c r="F361" s="480"/>
      <c r="I361" s="524"/>
    </row>
    <row r="362" spans="1:9">
      <c r="A362" s="510"/>
      <c r="B362" s="519" t="s">
        <v>2800</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2800</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2800</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2800</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2800</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2800</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2800</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2387</v>
      </c>
      <c r="E433" s="1269"/>
      <c r="F433" s="1269"/>
      <c r="I433" s="524"/>
    </row>
    <row r="434" spans="1:9">
      <c r="D434" s="480"/>
      <c r="E434" s="480"/>
      <c r="F434" s="480"/>
      <c r="I434" s="524"/>
    </row>
    <row r="435" spans="1:9" ht="14.25">
      <c r="A435" s="518"/>
      <c r="B435" s="519" t="s">
        <v>2800</v>
      </c>
      <c r="C435" s="521"/>
      <c r="D435" s="1281" t="s">
        <v>2370</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2800</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2800</v>
      </c>
      <c r="C471" s="518"/>
      <c r="D471" s="1281" t="s">
        <v>1304</v>
      </c>
      <c r="E471" s="1281"/>
      <c r="F471" s="1281"/>
      <c r="I471" s="524"/>
    </row>
    <row r="472" spans="1:9">
      <c r="D472" s="1281"/>
      <c r="E472" s="1281"/>
      <c r="F472" s="1281"/>
      <c r="I472" s="524"/>
    </row>
    <row r="473" spans="1:9">
      <c r="D473" s="480"/>
      <c r="E473" s="480"/>
      <c r="F473" s="480"/>
      <c r="I473" s="524"/>
    </row>
    <row r="474" spans="1:9" ht="14.25">
      <c r="B474" s="519" t="s">
        <v>2800</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2800</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2800</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2800</v>
      </c>
      <c r="C486" s="433"/>
      <c r="D486" s="1281"/>
      <c r="E486" s="1281"/>
      <c r="F486" s="1281"/>
      <c r="I486" s="524"/>
    </row>
    <row r="487" spans="1:9">
      <c r="A487" s="433"/>
      <c r="C487" s="433"/>
      <c r="D487" s="1281"/>
      <c r="E487" s="1281"/>
      <c r="F487" s="1281"/>
      <c r="I487" s="524"/>
    </row>
    <row r="488" spans="1:9">
      <c r="A488" s="433"/>
      <c r="B488" s="519" t="s">
        <v>2800</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2800</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2800</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2800</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2800</v>
      </c>
      <c r="D509" s="1310" t="s">
        <v>1243</v>
      </c>
      <c r="E509" s="1310"/>
      <c r="F509" s="1310"/>
      <c r="I509" s="524" t="s">
        <v>2097</v>
      </c>
    </row>
    <row r="510" spans="1:9" ht="14.25">
      <c r="A510" s="518"/>
      <c r="B510" s="518"/>
      <c r="D510" s="480"/>
      <c r="I510" s="524"/>
    </row>
    <row r="511" spans="1:9" ht="14.25">
      <c r="A511" s="518"/>
      <c r="B511" s="519" t="s">
        <v>2800</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2800</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2799</v>
      </c>
      <c r="C522" s="517"/>
      <c r="D522" s="1269" t="s">
        <v>2371</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2800</v>
      </c>
      <c r="D525" s="417" t="s">
        <v>2201</v>
      </c>
      <c r="E525" s="416"/>
      <c r="F525" s="416"/>
      <c r="I525" s="524" t="s">
        <v>2098</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2800</v>
      </c>
      <c r="C531" s="517"/>
      <c r="D531" s="1281" t="s">
        <v>2373</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2799</v>
      </c>
      <c r="C543" s="521"/>
      <c r="D543" s="1310" t="s">
        <v>897</v>
      </c>
      <c r="E543" s="1310"/>
      <c r="F543" s="1310"/>
      <c r="I543" s="524" t="s">
        <v>2148</v>
      </c>
    </row>
    <row r="544" spans="1:9" ht="13.7" customHeight="1">
      <c r="A544" s="521"/>
      <c r="B544" s="521"/>
      <c r="C544" s="521"/>
      <c r="D544" s="480"/>
      <c r="I544" s="524"/>
    </row>
    <row r="545" spans="1:9" ht="14.25">
      <c r="A545" s="518"/>
      <c r="B545" s="519" t="s">
        <v>2799</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2799</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2799</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2799</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2800</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2799</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2799</v>
      </c>
      <c r="C564" s="521"/>
      <c r="D564" s="1310" t="s">
        <v>1146</v>
      </c>
      <c r="E564" s="1310"/>
      <c r="F564" s="1310"/>
      <c r="I564" s="524" t="s">
        <v>2151</v>
      </c>
    </row>
    <row r="565" spans="1:9">
      <c r="A565" s="524"/>
      <c r="B565" s="524"/>
      <c r="C565" s="521"/>
      <c r="D565" s="1310" t="s">
        <v>2204</v>
      </c>
      <c r="E565" s="1310"/>
      <c r="F565" s="1310"/>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2799</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2799</v>
      </c>
      <c r="C573" s="521"/>
      <c r="D573" s="1281" t="s">
        <v>2374</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2799</v>
      </c>
      <c r="D583" s="1303" t="s">
        <v>903</v>
      </c>
      <c r="E583" s="1303"/>
      <c r="F583" s="1303"/>
      <c r="I583" s="524"/>
    </row>
    <row r="584" spans="1:9">
      <c r="A584" s="524"/>
      <c r="B584" s="524"/>
      <c r="D584" s="510"/>
      <c r="I584" s="524"/>
    </row>
    <row r="585" spans="1:9">
      <c r="A585" s="524"/>
      <c r="B585" s="519" t="s">
        <v>2799</v>
      </c>
      <c r="D585" s="1303" t="s">
        <v>2375</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2800</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2799</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2800</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2799</v>
      </c>
      <c r="D605" s="1344" t="s">
        <v>2205</v>
      </c>
      <c r="E605" s="1344"/>
      <c r="F605" s="1344"/>
      <c r="I605" s="524" t="s">
        <v>2133</v>
      </c>
    </row>
    <row r="606" spans="1:9">
      <c r="D606" s="1344"/>
      <c r="E606" s="1344"/>
      <c r="F606" s="1344"/>
      <c r="I606" s="524"/>
    </row>
    <row r="607" spans="1:9">
      <c r="D607" s="416"/>
      <c r="E607" s="1071" t="s">
        <v>2206</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2799</v>
      </c>
      <c r="D615" s="1283" t="s">
        <v>1189</v>
      </c>
      <c r="E615" s="1283"/>
      <c r="F615" s="1283"/>
      <c r="I615" s="524" t="s">
        <v>2153</v>
      </c>
    </row>
    <row r="616" spans="1:9">
      <c r="D616" s="1283"/>
      <c r="E616" s="1283"/>
      <c r="F616" s="1283"/>
      <c r="I616" s="524"/>
    </row>
    <row r="617" spans="1:9">
      <c r="I617" s="524"/>
    </row>
    <row r="618" spans="1:9">
      <c r="B618" s="519" t="s">
        <v>2799</v>
      </c>
      <c r="D618" s="1283" t="s">
        <v>1190</v>
      </c>
      <c r="E618" s="1283"/>
      <c r="F618" s="1283"/>
      <c r="I618" s="524" t="s">
        <v>2106</v>
      </c>
    </row>
    <row r="619" spans="1:9">
      <c r="C619" s="534"/>
      <c r="D619" s="1283"/>
      <c r="E619" s="1283"/>
      <c r="F619" s="1283"/>
      <c r="I619" s="524"/>
    </row>
    <row r="620" spans="1:9">
      <c r="C620" s="534"/>
      <c r="I620" s="524"/>
    </row>
    <row r="621" spans="1:9">
      <c r="B621" s="519" t="s">
        <v>2799</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2799</v>
      </c>
      <c r="D628" s="1344" t="s">
        <v>2377</v>
      </c>
      <c r="E628" s="1344"/>
      <c r="F628" s="1344"/>
      <c r="I628" s="524" t="s">
        <v>2134</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2800</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2800</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2800</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2800</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2800</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2800</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2800</v>
      </c>
      <c r="C664" s="521"/>
      <c r="D664" s="1281" t="s">
        <v>2378</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2799</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2799</v>
      </c>
      <c r="C685" s="517"/>
      <c r="D685" s="1281" t="s">
        <v>2379</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2800</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2800</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2800</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2800</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2800</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2800</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2800</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2800</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2800</v>
      </c>
      <c r="C732" s="517"/>
      <c r="D732" s="1281" t="s">
        <v>2502</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2799</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2799</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2799</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2800</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2800</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2799</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2800</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2800</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2800</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2800</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2800</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2800</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2799</v>
      </c>
      <c r="C822" s="1024"/>
      <c r="D822" s="1266" t="s">
        <v>1956</v>
      </c>
      <c r="E822" s="1266"/>
      <c r="F822" s="1266"/>
      <c r="G822" s="3"/>
      <c r="I822" s="524" t="s">
        <v>2128</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2389</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2799</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2800</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2800</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2800</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2799</v>
      </c>
      <c r="C863" s="385"/>
      <c r="D863" s="1286" t="s">
        <v>1964</v>
      </c>
      <c r="E863" s="1286"/>
      <c r="F863" s="1286"/>
      <c r="G863" s="1023"/>
      <c r="I863" s="524" t="s">
        <v>2129</v>
      </c>
    </row>
    <row r="864" spans="1:9" ht="12.75" customHeight="1">
      <c r="A864" s="385"/>
      <c r="B864" s="385"/>
      <c r="C864" s="385"/>
      <c r="D864" s="2" t="s">
        <v>1939</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2799</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2800</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2800</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2800</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2800</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2799</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2799</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2800</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2800</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2800</v>
      </c>
      <c r="C918" s="1024"/>
      <c r="D918" s="1286" t="s">
        <v>2381</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2800</v>
      </c>
      <c r="C920" s="1024"/>
      <c r="D920" s="1286" t="s">
        <v>2382</v>
      </c>
      <c r="E920" s="1286"/>
      <c r="F920" s="1286"/>
      <c r="G920" s="1023"/>
      <c r="I920" s="524"/>
    </row>
    <row r="921" spans="1:9" ht="12.75" customHeight="1">
      <c r="A921" s="175"/>
      <c r="B921" s="175"/>
      <c r="C921" s="175"/>
      <c r="D921" s="2"/>
      <c r="E921" s="3"/>
      <c r="F921" s="1023"/>
      <c r="G921" s="1023"/>
      <c r="I921" s="524"/>
    </row>
    <row r="922" spans="1:9" ht="12.75" customHeight="1">
      <c r="A922" s="1032"/>
      <c r="B922" s="519" t="s">
        <v>2799</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2799</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2799</v>
      </c>
      <c r="C940" s="175"/>
      <c r="D940" s="1269" t="s">
        <v>2454</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2800</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2800</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2800</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2800</v>
      </c>
      <c r="C961" s="385"/>
      <c r="D961" s="1266" t="s">
        <v>2383</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2799</v>
      </c>
      <c r="C982" s="385"/>
      <c r="D982" s="1349" t="s">
        <v>2213</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2214</v>
      </c>
      <c r="F984" s="1073"/>
      <c r="G984"/>
      <c r="I984" s="524"/>
    </row>
    <row r="985" spans="1:9" ht="12.75" customHeight="1">
      <c r="A985" s="385"/>
      <c r="B985" s="385"/>
      <c r="C985" s="385"/>
      <c r="D985" s="1272" t="s">
        <v>2212</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2800</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2800</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2800</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2800</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2799</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2799</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2800</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2800</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2800</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2800</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2799</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2800</v>
      </c>
      <c r="C1034" s="385"/>
      <c r="D1034" s="1290" t="s">
        <v>1006</v>
      </c>
      <c r="E1034" s="1290"/>
      <c r="F1034" s="1290"/>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2800</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2800</v>
      </c>
      <c r="C1050" s="433"/>
      <c r="D1050" s="433" t="s">
        <v>2004</v>
      </c>
      <c r="I1050" s="524" t="s">
        <v>2116</v>
      </c>
    </row>
    <row r="1051" spans="1:9">
      <c r="A1051" s="433"/>
      <c r="B1051" s="433"/>
      <c r="C1051" s="433"/>
      <c r="I1051" s="524"/>
    </row>
    <row r="1052" spans="1:9">
      <c r="A1052" s="433"/>
      <c r="B1052" s="519" t="s">
        <v>2800</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2799</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2800</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2800</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2800</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2800</v>
      </c>
      <c r="C1085" s="433"/>
      <c r="D1085" s="1352" t="s">
        <v>2227</v>
      </c>
      <c r="E1085" s="1352"/>
      <c r="F1085" s="1352"/>
      <c r="I1085" s="524" t="s">
        <v>2122</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2800</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2800</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2800</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2799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2800</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77" zoomScaleNormal="100" workbookViewId="0">
      <selection activeCell="AM189" sqref="AM18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5"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2" t="s">
        <v>2634</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5"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62" t="s">
        <v>2635</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101</v>
      </c>
      <c r="C18" s="4"/>
      <c r="D18" s="4"/>
      <c r="E18" s="4"/>
      <c r="F18" s="4"/>
      <c r="G18" s="4"/>
      <c r="H18" s="1772" t="s">
        <v>2636</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3" t="s">
        <v>885</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5" customHeight="1">
      <c r="A21" s="1563" t="s">
        <v>1034</v>
      </c>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156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1">
        <f>'Basis &amp; Credits'!AB56</f>
        <v>3237659</v>
      </c>
      <c r="N26" s="1561"/>
      <c r="O26" s="1561"/>
      <c r="P26" s="1561"/>
      <c r="Q26" s="156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9573068</v>
      </c>
      <c r="N27" s="1359"/>
      <c r="O27" s="1359"/>
      <c r="P27" s="1359"/>
      <c r="Q27" s="1359"/>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9" t="s">
        <v>2507</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5"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5"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0" t="s">
        <v>678</v>
      </c>
      <c r="P33" s="1380"/>
      <c r="Q33" s="1854" t="s">
        <v>2508</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2.95" customHeight="1">
      <c r="A34" s="1849" t="s">
        <v>2509</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5"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5"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5"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1" t="s">
        <v>2516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1" t="s">
        <v>2517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9" t="s">
        <v>2518</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5"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9" t="s">
        <v>2519</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1" t="s">
        <v>2520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8" t="s">
        <v>2523</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row>
    <row r="90" spans="1:52"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9" t="s">
        <v>2524</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2"/>
      <c r="H113" s="1412"/>
      <c r="I113" s="3" t="s">
        <v>182</v>
      </c>
      <c r="L113" s="1412"/>
      <c r="M113" s="1412"/>
      <c r="N113" s="1412"/>
      <c r="O113" s="1412"/>
      <c r="P113" s="1568" t="s">
        <v>2528</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3"/>
      <c r="D115" s="1553"/>
      <c r="E115" s="1553"/>
      <c r="F115" s="1553"/>
      <c r="G115" s="1553"/>
      <c r="H115" s="1553"/>
      <c r="I115" s="1553"/>
      <c r="J115" s="1553"/>
      <c r="K115" s="155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2"/>
      <c r="Z117" s="1412"/>
      <c r="AA117" s="1412"/>
      <c r="AB117" s="1412"/>
      <c r="AC117" s="1412"/>
      <c r="AD117" s="1412"/>
      <c r="AE117" s="1412"/>
      <c r="AF117" s="1412"/>
      <c r="AG117" s="1412"/>
      <c r="AH117" s="1412"/>
      <c r="AI117" s="1412"/>
      <c r="AJ117" s="1412"/>
      <c r="AK117" s="1412"/>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2"/>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2"/>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1" t="s">
        <v>2637</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442</v>
      </c>
      <c r="O154" s="1385" t="s">
        <v>2638</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65" t="s">
        <v>443</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314</v>
      </c>
      <c r="O156" s="1384" t="s">
        <v>2639</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81" t="s">
        <v>2640</v>
      </c>
      <c r="P157" s="1481"/>
      <c r="Q157" s="1481"/>
      <c r="R157" s="1481"/>
      <c r="S157" s="1481"/>
      <c r="T157" s="1481"/>
      <c r="U157" s="1481"/>
      <c r="V157" s="1481"/>
      <c r="W157" s="1481"/>
      <c r="X157" s="1481"/>
      <c r="Y157" s="8"/>
      <c r="Z157" s="8"/>
      <c r="AA157" s="8"/>
      <c r="AB157" s="8"/>
      <c r="AC157" s="8"/>
      <c r="AD157" s="8"/>
      <c r="AE157" s="8"/>
      <c r="AF157" s="8"/>
      <c r="BN157" s="23" t="s">
        <v>645</v>
      </c>
      <c r="BT157" t="s">
        <v>485</v>
      </c>
    </row>
    <row r="158" spans="1:72" ht="12.95" customHeight="1">
      <c r="D158" t="s">
        <v>316</v>
      </c>
      <c r="O158" s="1566">
        <v>93550</v>
      </c>
      <c r="P158" s="1566"/>
      <c r="Q158" s="1566"/>
      <c r="R158" s="1566"/>
      <c r="S158" s="9"/>
      <c r="T158" s="9"/>
      <c r="U158" s="9"/>
      <c r="V158" s="9"/>
      <c r="W158" s="9"/>
      <c r="X158" s="9"/>
      <c r="Y158" s="9"/>
      <c r="Z158" s="9"/>
      <c r="AA158" s="9"/>
      <c r="AB158" s="9"/>
      <c r="AC158" s="9"/>
      <c r="AD158" s="9"/>
      <c r="AE158" s="9"/>
      <c r="AF158" s="9"/>
      <c r="BN158" s="23" t="s">
        <v>646</v>
      </c>
      <c r="BT158" t="s">
        <v>486</v>
      </c>
    </row>
    <row r="159" spans="1:72" ht="12.95" customHeight="1">
      <c r="D159" t="s">
        <v>317</v>
      </c>
      <c r="O159" s="1560" t="s">
        <v>2641</v>
      </c>
      <c r="P159" s="1560"/>
      <c r="Q159" s="1560"/>
      <c r="R159" s="1560"/>
      <c r="S159" s="1560"/>
      <c r="T159" s="1560"/>
      <c r="V159" s="97" t="s">
        <v>272</v>
      </c>
      <c r="W159" s="1567"/>
      <c r="X159" s="1567"/>
      <c r="Y159" s="10"/>
      <c r="Z159" s="10"/>
      <c r="AA159" s="10"/>
      <c r="AB159" s="10"/>
      <c r="AC159" s="10"/>
      <c r="AD159" s="10"/>
      <c r="AE159" s="10"/>
      <c r="AF159" s="10"/>
      <c r="BN159" s="23" t="s">
        <v>340</v>
      </c>
      <c r="BT159" t="s">
        <v>487</v>
      </c>
    </row>
    <row r="160" spans="1:72" ht="12.95" customHeight="1">
      <c r="D160" t="s">
        <v>318</v>
      </c>
      <c r="O160" s="1560" t="s">
        <v>2642</v>
      </c>
      <c r="P160" s="1560"/>
      <c r="Q160" s="1560"/>
      <c r="R160" s="1560"/>
      <c r="S160" s="1560"/>
      <c r="T160" s="1560"/>
      <c r="U160" s="10"/>
      <c r="V160" s="10"/>
      <c r="W160" s="10"/>
      <c r="X160" s="10"/>
      <c r="Y160" s="10"/>
      <c r="Z160" s="10"/>
      <c r="AA160" s="10"/>
      <c r="AB160" s="10"/>
      <c r="AC160" s="10"/>
      <c r="AD160" s="10"/>
      <c r="AE160" s="10"/>
      <c r="AF160" s="10"/>
      <c r="BN160" s="23" t="s">
        <v>669</v>
      </c>
      <c r="BT160" t="s">
        <v>488</v>
      </c>
    </row>
    <row r="161" spans="1:72" ht="12.95" customHeight="1">
      <c r="D161" t="s">
        <v>319</v>
      </c>
      <c r="O161" s="1539" t="s">
        <v>2643</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4" t="s">
        <v>2623</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4" t="s">
        <v>548</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95"/>
      <c r="AV169" s="95"/>
      <c r="AW169" s="95"/>
      <c r="AX169" s="95"/>
      <c r="AY169" s="95"/>
      <c r="BN169" s="23" t="s">
        <v>682</v>
      </c>
      <c r="BT169" t="s">
        <v>497</v>
      </c>
    </row>
    <row r="170" spans="1:72" ht="12.95" customHeigh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4" t="s">
        <v>372</v>
      </c>
      <c r="K173" s="1564"/>
      <c r="L173" s="1564"/>
      <c r="M173" s="1564"/>
      <c r="N173" s="1564"/>
      <c r="O173" s="1564"/>
      <c r="P173" s="1564"/>
      <c r="Q173" s="1564"/>
      <c r="R173" s="1564"/>
      <c r="S173" s="1564"/>
      <c r="U173" s="25"/>
      <c r="X173" s="25"/>
      <c r="BB173" s="3" t="s">
        <v>308</v>
      </c>
      <c r="BN173" s="23" t="s">
        <v>215</v>
      </c>
      <c r="BT173" t="s">
        <v>501</v>
      </c>
    </row>
    <row r="174" spans="1:72" ht="12.95" customHeight="1">
      <c r="C174" s="24"/>
      <c r="D174" s="3" t="s">
        <v>1309</v>
      </c>
      <c r="J174" s="1384" t="s">
        <v>2418</v>
      </c>
      <c r="K174" s="1384"/>
      <c r="L174" s="1384"/>
      <c r="M174" s="1384"/>
      <c r="N174" s="1384"/>
      <c r="O174" s="1384"/>
      <c r="P174" s="1384"/>
      <c r="Q174" s="1384"/>
      <c r="R174" s="1384"/>
      <c r="S174" s="1384"/>
      <c r="T174" s="1384"/>
      <c r="U174" s="1384"/>
      <c r="V174" s="1384"/>
      <c r="W174" s="1384"/>
      <c r="X174" s="1384"/>
      <c r="Y174" s="1384"/>
      <c r="Z174" s="1384"/>
      <c r="AA174" s="1384"/>
      <c r="AB174" s="1384"/>
      <c r="BB174" t="s">
        <v>2271</v>
      </c>
      <c r="BN174" s="23" t="s">
        <v>217</v>
      </c>
      <c r="BT174" t="s">
        <v>502</v>
      </c>
    </row>
    <row r="175" spans="1:72" ht="12.95" customHeight="1">
      <c r="C175" s="8"/>
      <c r="D175" s="3" t="s">
        <v>323</v>
      </c>
      <c r="O175" s="27"/>
      <c r="U175" s="1380" t="s">
        <v>678</v>
      </c>
      <c r="V175" s="1380"/>
      <c r="BB175" t="s">
        <v>2235</v>
      </c>
      <c r="BN175" s="23" t="s">
        <v>218</v>
      </c>
      <c r="BT175" t="s">
        <v>503</v>
      </c>
    </row>
    <row r="176" spans="1:72" ht="12.95" customHeight="1">
      <c r="C176" s="8"/>
      <c r="D176" s="26"/>
      <c r="E176" t="s">
        <v>305</v>
      </c>
      <c r="O176" s="27"/>
      <c r="P176" t="s">
        <v>2393</v>
      </c>
      <c r="T176" s="27" t="s">
        <v>306</v>
      </c>
      <c r="U176" s="1557"/>
      <c r="V176" s="1557"/>
      <c r="W176" s="1" t="s">
        <v>307</v>
      </c>
      <c r="X176" s="1550"/>
      <c r="Y176" s="1550"/>
      <c r="BB176" t="s">
        <v>2272</v>
      </c>
      <c r="BN176" s="23" t="s">
        <v>220</v>
      </c>
      <c r="BT176" t="s">
        <v>504</v>
      </c>
    </row>
    <row r="177" spans="1:72" ht="12.95" customHeight="1">
      <c r="C177" s="24"/>
      <c r="D177" t="s">
        <v>250</v>
      </c>
      <c r="R177" s="1380"/>
      <c r="S177" s="1380"/>
      <c r="BB177" t="s">
        <v>2577</v>
      </c>
      <c r="BN177" s="23" t="s">
        <v>221</v>
      </c>
      <c r="BT177" t="s">
        <v>505</v>
      </c>
    </row>
    <row r="178" spans="1:72" ht="12.95" customHeight="1">
      <c r="C178" s="24"/>
      <c r="D178" s="3" t="s">
        <v>1310</v>
      </c>
      <c r="AA178" t="s">
        <v>2393</v>
      </c>
      <c r="AE178" s="27" t="s">
        <v>306</v>
      </c>
      <c r="AF178" s="1760"/>
      <c r="AG178" s="1760"/>
      <c r="AH178" s="1" t="s">
        <v>307</v>
      </c>
      <c r="AI178" s="1532"/>
      <c r="AJ178" s="1532"/>
      <c r="AK178" s="1532"/>
      <c r="BB178" t="s">
        <v>2578</v>
      </c>
      <c r="BN178" s="23" t="s">
        <v>222</v>
      </c>
      <c r="BT178" t="s">
        <v>53</v>
      </c>
    </row>
    <row r="179" spans="1:72" ht="12.95" customHeight="1">
      <c r="C179" s="24"/>
      <c r="BN179" s="23" t="s">
        <v>223</v>
      </c>
      <c r="BT179" t="s">
        <v>54</v>
      </c>
    </row>
    <row r="180" spans="1:72" ht="12.95" customHeight="1">
      <c r="C180" s="24"/>
      <c r="D180" t="s">
        <v>2394</v>
      </c>
      <c r="X180" s="1380"/>
      <c r="Y180" s="138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7" t="str">
        <f>H18</f>
        <v>Maison's Village - Phase II</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596</v>
      </c>
      <c r="BN184" s="23" t="s">
        <v>231</v>
      </c>
      <c r="BT184" t="s">
        <v>62</v>
      </c>
    </row>
    <row r="185" spans="1:72" ht="12.95" customHeight="1">
      <c r="C185" s="21"/>
      <c r="D185" t="s">
        <v>588</v>
      </c>
      <c r="I185" s="1454"/>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597</v>
      </c>
      <c r="BN185" s="23" t="s">
        <v>232</v>
      </c>
      <c r="BT185" t="s">
        <v>63</v>
      </c>
    </row>
    <row r="186" spans="1:72" ht="12.95" customHeight="1">
      <c r="C186" s="21"/>
      <c r="E186" t="s">
        <v>168</v>
      </c>
      <c r="BN186" s="23" t="s">
        <v>233</v>
      </c>
      <c r="BT186" t="s">
        <v>64</v>
      </c>
    </row>
    <row r="187" spans="1:72" ht="12.95" customHeight="1">
      <c r="C187" s="21"/>
      <c r="E187" s="1478" t="s">
        <v>2644</v>
      </c>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234</v>
      </c>
      <c r="BT187" t="s">
        <v>65</v>
      </c>
    </row>
    <row r="188" spans="1:72" ht="12.95"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236</v>
      </c>
      <c r="BT188" t="s">
        <v>66</v>
      </c>
    </row>
    <row r="189" spans="1:72" ht="12.95" customHeight="1">
      <c r="C189" s="21"/>
      <c r="D189" t="s">
        <v>589</v>
      </c>
      <c r="I189" s="1384" t="s">
        <v>2640</v>
      </c>
      <c r="J189" s="1384"/>
      <c r="K189" s="1384"/>
      <c r="L189" s="1384"/>
      <c r="M189" s="1384"/>
      <c r="N189" s="1384"/>
      <c r="O189" s="1384"/>
      <c r="P189" s="1384"/>
      <c r="Q189" t="s">
        <v>591</v>
      </c>
      <c r="T189" s="1384" t="s">
        <v>503</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54">
        <v>93552</v>
      </c>
      <c r="J190" s="1454"/>
      <c r="K190" s="1454"/>
      <c r="L190" s="1454"/>
      <c r="M190" s="1454"/>
      <c r="N190" s="1454"/>
      <c r="O190" t="s">
        <v>594</v>
      </c>
      <c r="T190" s="1558">
        <v>9107.1299999999992</v>
      </c>
      <c r="U190" s="1558"/>
      <c r="V190" s="1558"/>
      <c r="W190" s="1558"/>
      <c r="X190" s="1558"/>
      <c r="Y190" s="1558"/>
      <c r="Z190" s="1558"/>
      <c r="AA190" s="1558"/>
      <c r="AB190" s="1558"/>
      <c r="AC190" s="1558"/>
      <c r="AD190" s="1558"/>
      <c r="AE190" s="1558"/>
      <c r="BC190" t="s">
        <v>1066</v>
      </c>
      <c r="BH190" t="s">
        <v>1066</v>
      </c>
      <c r="BN190" s="23" t="s">
        <v>644</v>
      </c>
      <c r="BT190" t="s">
        <v>68</v>
      </c>
    </row>
    <row r="191" spans="1:72" ht="12.95" customHeight="1">
      <c r="C191" s="21"/>
      <c r="D191" t="s">
        <v>471</v>
      </c>
      <c r="N191" s="1478" t="s">
        <v>2645</v>
      </c>
      <c r="O191" s="1478"/>
      <c r="P191" s="1478"/>
      <c r="Q191" s="1478"/>
      <c r="R191" s="1478"/>
      <c r="S191" s="1478"/>
      <c r="T191" s="1478"/>
      <c r="U191" s="1478"/>
      <c r="V191" s="1478"/>
      <c r="W191" s="1478"/>
      <c r="X191" s="1478"/>
      <c r="Y191" s="1478"/>
      <c r="Z191" s="1478"/>
      <c r="AA191" s="1478"/>
      <c r="AB191" s="1478"/>
      <c r="AC191" s="1478"/>
      <c r="AD191" s="1478"/>
      <c r="AE191" s="1478"/>
      <c r="BC191" t="s">
        <v>1065</v>
      </c>
      <c r="BH191" t="s">
        <v>1065</v>
      </c>
      <c r="BN191" s="23" t="s">
        <v>698</v>
      </c>
      <c r="BT191" t="s">
        <v>737</v>
      </c>
    </row>
    <row r="192" spans="1:72" ht="12.95"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1068</v>
      </c>
      <c r="BH192" s="3" t="s">
        <v>1476</v>
      </c>
      <c r="BN192" s="23" t="s">
        <v>699</v>
      </c>
      <c r="BT192" t="s">
        <v>738</v>
      </c>
    </row>
    <row r="193" spans="1:74" ht="12.95" customHeight="1">
      <c r="C193" s="21"/>
      <c r="D193" t="s">
        <v>2395</v>
      </c>
      <c r="M193" s="40"/>
      <c r="N193" s="928"/>
      <c r="O193" s="928"/>
      <c r="P193" s="928"/>
      <c r="Q193" s="928"/>
      <c r="R193" s="928"/>
      <c r="S193" s="928"/>
      <c r="T193" s="1547" t="s">
        <v>2577</v>
      </c>
      <c r="U193" s="1547"/>
      <c r="V193" s="1547"/>
      <c r="W193" s="1547"/>
      <c r="X193" s="1547"/>
      <c r="Y193" s="1547"/>
      <c r="Z193" s="1547"/>
      <c r="AA193" s="1547"/>
      <c r="AB193" s="1547"/>
      <c r="AC193" s="1547"/>
      <c r="AD193" s="1547"/>
      <c r="AE193" s="1547"/>
      <c r="AF193" s="1547"/>
      <c r="AG193" s="1547"/>
      <c r="AH193" s="1547"/>
      <c r="AI193" s="1547"/>
      <c r="BC193" t="s">
        <v>1067</v>
      </c>
      <c r="BH193" s="3" t="s">
        <v>1743</v>
      </c>
      <c r="BN193" s="23" t="s">
        <v>700</v>
      </c>
      <c r="BT193" t="s">
        <v>739</v>
      </c>
    </row>
    <row r="194" spans="1:74" ht="12.95" customHeight="1">
      <c r="C194" s="21"/>
      <c r="D194" s="3" t="s">
        <v>2579</v>
      </c>
      <c r="M194" s="40"/>
      <c r="N194" s="928"/>
      <c r="O194" s="928"/>
      <c r="P194" s="928"/>
      <c r="Q194" s="928"/>
      <c r="R194" s="928"/>
      <c r="S194" s="928"/>
      <c r="AH194" s="1380" t="s">
        <v>678</v>
      </c>
      <c r="AI194" s="1380"/>
      <c r="BC194" t="s">
        <v>1476</v>
      </c>
      <c r="BN194" s="23" t="s">
        <v>701</v>
      </c>
      <c r="BT194" t="s">
        <v>740</v>
      </c>
    </row>
    <row r="195" spans="1:74" ht="12.95" customHeight="1">
      <c r="C195" s="21"/>
      <c r="D195" t="s">
        <v>332</v>
      </c>
      <c r="T195" s="1380" t="s">
        <v>554</v>
      </c>
      <c r="U195" s="1380"/>
      <c r="W195" t="s">
        <v>694</v>
      </c>
      <c r="AH195" s="1380">
        <v>27</v>
      </c>
      <c r="AI195" s="1380"/>
      <c r="BC195" t="s">
        <v>2049</v>
      </c>
      <c r="BN195" s="23" t="s">
        <v>243</v>
      </c>
      <c r="BT195" t="s">
        <v>741</v>
      </c>
    </row>
    <row r="196" spans="1:74" ht="12.95" customHeight="1">
      <c r="C196" s="21"/>
      <c r="D196" t="s">
        <v>387</v>
      </c>
      <c r="T196" s="1400" t="s">
        <v>678</v>
      </c>
      <c r="U196" s="1400"/>
      <c r="W196" t="s">
        <v>695</v>
      </c>
      <c r="AH196" s="1380">
        <v>39</v>
      </c>
      <c r="AI196" s="1380"/>
      <c r="BN196" s="23" t="s">
        <v>244</v>
      </c>
      <c r="BT196" t="s">
        <v>69</v>
      </c>
    </row>
    <row r="197" spans="1:74" ht="12.95" customHeight="1">
      <c r="C197" s="21"/>
      <c r="D197" s="3" t="s">
        <v>169</v>
      </c>
      <c r="T197" s="1400" t="s">
        <v>678</v>
      </c>
      <c r="U197" s="1400"/>
      <c r="W197" t="s">
        <v>696</v>
      </c>
      <c r="AH197" s="1380">
        <v>21</v>
      </c>
      <c r="AI197" s="138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00"/>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7" t="s">
        <v>386</v>
      </c>
      <c r="E204" s="1507"/>
      <c r="F204" s="1507"/>
      <c r="G204" s="1507"/>
      <c r="H204" s="1507"/>
      <c r="I204" s="1507"/>
      <c r="J204" s="1507"/>
      <c r="K204" s="1507"/>
      <c r="L204" s="1507"/>
      <c r="M204" s="1507"/>
      <c r="P204" s="1555">
        <f>M26</f>
        <v>3237659</v>
      </c>
      <c r="Q204" s="1556"/>
      <c r="R204" s="1556"/>
      <c r="S204" s="1556"/>
      <c r="T204" s="1556"/>
      <c r="U204" s="1556"/>
      <c r="Z204" s="1570" t="s">
        <v>2627</v>
      </c>
      <c r="AA204" s="1570"/>
      <c r="AB204" s="1570"/>
      <c r="AC204" s="1570"/>
      <c r="AD204" s="1570"/>
      <c r="AE204" s="1570"/>
      <c r="AF204" s="1570"/>
      <c r="BC204" t="s">
        <v>619</v>
      </c>
      <c r="BN204" s="23" t="s">
        <v>713</v>
      </c>
      <c r="BT204" s="32" t="s">
        <v>198</v>
      </c>
      <c r="BU204" s="14"/>
    </row>
    <row r="205" spans="1:74" ht="12.95" customHeight="1">
      <c r="C205" s="21"/>
      <c r="D205" s="1569" t="s">
        <v>1356</v>
      </c>
      <c r="E205" s="1507"/>
      <c r="F205" s="1507"/>
      <c r="G205" s="1507"/>
      <c r="H205" s="1507"/>
      <c r="I205" s="1507"/>
      <c r="J205" s="1507"/>
      <c r="K205" s="1507"/>
      <c r="L205" s="1507"/>
      <c r="M205" s="1507"/>
      <c r="P205" s="1556">
        <f>M27</f>
        <v>9573068</v>
      </c>
      <c r="Q205" s="1556"/>
      <c r="R205" s="1556"/>
      <c r="S205" s="1556"/>
      <c r="T205" s="1556"/>
      <c r="U205" s="1556"/>
      <c r="V205" s="28"/>
      <c r="W205" s="3" t="s">
        <v>1911</v>
      </c>
      <c r="Z205" s="1570"/>
      <c r="AA205" s="1570"/>
      <c r="AB205" s="1570"/>
      <c r="AC205" s="1570"/>
      <c r="AD205" s="1570"/>
      <c r="AE205" s="1570"/>
      <c r="AF205" s="1570"/>
      <c r="AG205" t="s">
        <v>1357</v>
      </c>
      <c r="AP205" s="1380" t="s">
        <v>678</v>
      </c>
      <c r="AQ205" s="138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1"/>
      <c r="AA206" s="1571"/>
      <c r="AB206" s="1571"/>
      <c r="AC206" s="1571"/>
      <c r="AD206" s="1571"/>
      <c r="AE206" s="1571"/>
      <c r="AF206" s="1571"/>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81" t="s">
        <v>2646</v>
      </c>
      <c r="E208" s="1481"/>
      <c r="F208" s="1481"/>
      <c r="G208" s="1481"/>
      <c r="H208" s="1481"/>
      <c r="I208" s="1481"/>
      <c r="J208" s="1481"/>
      <c r="K208" s="1481"/>
      <c r="L208" s="1481"/>
      <c r="M208" s="148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1" t="s">
        <v>2049</v>
      </c>
      <c r="E211" s="1481"/>
      <c r="F211" s="1481"/>
      <c r="G211" s="1481"/>
      <c r="H211" s="1481"/>
      <c r="I211" s="1481"/>
      <c r="J211" s="1481"/>
      <c r="K211" s="1481"/>
      <c r="L211" s="1481"/>
      <c r="M211" s="1481"/>
      <c r="BN211" s="23" t="s">
        <v>129</v>
      </c>
      <c r="BT211" s="32" t="s">
        <v>130</v>
      </c>
    </row>
    <row r="212" spans="1:72" ht="12.95" customHeight="1">
      <c r="C212" s="21"/>
      <c r="D212" t="s">
        <v>1353</v>
      </c>
      <c r="Y212" s="1380"/>
      <c r="Z212" s="1380"/>
      <c r="AB212" s="1545">
        <f>IFERROR(Y212/AG440,"")</f>
        <v>0</v>
      </c>
      <c r="AC212" s="1546"/>
      <c r="BC212" t="s">
        <v>308</v>
      </c>
      <c r="BI212" t="s">
        <v>1291</v>
      </c>
      <c r="BN212" s="23" t="s">
        <v>49</v>
      </c>
      <c r="BT212" s="32" t="s">
        <v>204</v>
      </c>
    </row>
    <row r="213" spans="1:72" ht="12.95" customHeight="1">
      <c r="D213" s="1189" t="s">
        <v>1742</v>
      </c>
      <c r="BC213" t="s">
        <v>535</v>
      </c>
      <c r="BI213" t="s">
        <v>2627</v>
      </c>
      <c r="BN213" s="23" t="s">
        <v>50</v>
      </c>
      <c r="BT213" s="32" t="s">
        <v>205</v>
      </c>
    </row>
    <row r="214" spans="1:72" ht="12.95" customHeight="1">
      <c r="D214" s="1552" t="s">
        <v>600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539</v>
      </c>
      <c r="BI214" t="s">
        <v>2633</v>
      </c>
      <c r="BN214" s="23" t="s">
        <v>327</v>
      </c>
      <c r="BT214" s="32" t="s">
        <v>206</v>
      </c>
    </row>
    <row r="215" spans="1:72" ht="12.95" customHeight="1">
      <c r="D215" s="3" t="s">
        <v>1767</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536</v>
      </c>
      <c r="BI215" t="s">
        <v>2628</v>
      </c>
    </row>
    <row r="216" spans="1:72" ht="12.95" customHeight="1">
      <c r="D216" s="3" t="s">
        <v>1765</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575</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1" t="s">
        <v>887</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301</v>
      </c>
    </row>
    <row r="221" spans="1:72" ht="12.95" customHeight="1">
      <c r="A221" s="2"/>
      <c r="B221" s="14"/>
      <c r="C221" s="2"/>
      <c r="AU221" s="95"/>
      <c r="AV221" s="95"/>
      <c r="AW221" s="95"/>
      <c r="AX221" s="95"/>
      <c r="AY221" s="95"/>
      <c r="BA221" s="3"/>
    </row>
    <row r="222" spans="1:72" ht="12.95" customHeight="1">
      <c r="A222" s="1654" t="s">
        <v>549</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95"/>
      <c r="AV222" s="95"/>
      <c r="AW222" s="95"/>
      <c r="AX222" s="95"/>
      <c r="AY222" s="95"/>
      <c r="AZ222" s="3"/>
      <c r="BA222" s="3"/>
      <c r="BP222" s="34"/>
    </row>
    <row r="223" spans="1:72" ht="12.95" customHeight="1">
      <c r="A223" s="1654"/>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554</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600</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59" t="str">
        <f>H16</f>
        <v>Maison's Palmdale Blvd 150,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81" t="s">
        <v>2647</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547</v>
      </c>
      <c r="BG233" s="259">
        <f>IF(AND(AND($M$249="nonprofit",$M$257="for profit",$M$265="nonprofit")),2,0)</f>
        <v>0</v>
      </c>
    </row>
    <row r="234" spans="1:69" ht="12.95" customHeight="1">
      <c r="D234" s="4" t="s">
        <v>589</v>
      </c>
      <c r="E234" s="4"/>
      <c r="M234" s="1481" t="s">
        <v>2648</v>
      </c>
      <c r="N234" s="1481"/>
      <c r="O234" s="1481"/>
      <c r="P234" s="1481"/>
      <c r="Q234" s="1481"/>
      <c r="R234" s="1481"/>
      <c r="S234" s="1481"/>
      <c r="T234" s="1481"/>
      <c r="V234" s="33" t="s">
        <v>86</v>
      </c>
      <c r="W234" s="1524" t="s">
        <v>2649</v>
      </c>
      <c r="X234" s="1385"/>
      <c r="Y234" s="4" t="s">
        <v>592</v>
      </c>
      <c r="AC234" s="1481">
        <v>90266</v>
      </c>
      <c r="AD234" s="1481"/>
      <c r="AE234" s="148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81" t="s">
        <v>2650</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386" t="s">
        <v>2651</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2.95" customHeight="1">
      <c r="D237" s="4" t="s">
        <v>90</v>
      </c>
      <c r="E237" s="4"/>
      <c r="F237" s="4"/>
      <c r="M237" s="1539" t="s">
        <v>2652</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4" t="s">
        <v>537</v>
      </c>
      <c r="N238" s="1454"/>
      <c r="O238" s="1454"/>
      <c r="P238" s="1454"/>
      <c r="Q238" s="1454"/>
      <c r="R238" s="1454"/>
      <c r="S238" s="1454"/>
      <c r="T238" s="1454"/>
      <c r="U238" s="218" t="s">
        <v>922</v>
      </c>
      <c r="V238" s="218"/>
      <c r="W238" s="218"/>
      <c r="X238" s="218"/>
      <c r="Y238" s="218"/>
      <c r="Z238" s="218"/>
      <c r="AA238" s="1542" t="s">
        <v>2653</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1" t="s">
        <v>2654</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2655</v>
      </c>
      <c r="AG243" s="1541"/>
      <c r="AH243" s="1541"/>
      <c r="AI243" s="1541"/>
      <c r="AJ243" s="1541"/>
      <c r="AK243" s="154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81" t="s">
        <v>2647</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81" t="s">
        <v>2648</v>
      </c>
      <c r="N245" s="1481"/>
      <c r="O245" s="1481"/>
      <c r="P245" s="1481"/>
      <c r="Q245" s="1481"/>
      <c r="R245" s="1481"/>
      <c r="S245" s="1481"/>
      <c r="T245" s="1481"/>
      <c r="V245" s="33" t="s">
        <v>86</v>
      </c>
      <c r="W245" s="1385" t="s">
        <v>2649</v>
      </c>
      <c r="X245" s="1385"/>
      <c r="Y245" s="4" t="s">
        <v>592</v>
      </c>
      <c r="AC245" s="1481">
        <v>90266</v>
      </c>
      <c r="AD245" s="1481"/>
      <c r="AE245" s="1481"/>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81" t="s">
        <v>2650</v>
      </c>
      <c r="N246" s="1481"/>
      <c r="O246" s="1481"/>
      <c r="P246" s="1481"/>
      <c r="Q246" s="1481"/>
      <c r="R246" s="1481"/>
      <c r="S246" s="1481"/>
      <c r="T246" s="1481"/>
      <c r="U246" s="1481"/>
      <c r="V246" s="1481"/>
      <c r="W246" s="1481"/>
      <c r="X246" s="1481"/>
      <c r="Y246" s="1481"/>
      <c r="Z246" s="1481"/>
      <c r="AA246" s="1481"/>
      <c r="AB246" s="1481"/>
      <c r="AC246" s="1481"/>
      <c r="AD246" s="1481"/>
      <c r="AE246" s="1481"/>
      <c r="AH246" s="1472">
        <v>9.0000000000000006E-5</v>
      </c>
      <c r="AI246" s="1473"/>
      <c r="AJ246" s="1473"/>
      <c r="AK246" s="147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6" t="s">
        <v>2651</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9" t="s">
        <v>2652</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4" t="s">
        <v>545</v>
      </c>
      <c r="N249" s="1454"/>
      <c r="O249" s="1454"/>
      <c r="P249" s="1454"/>
      <c r="Q249" s="1454"/>
      <c r="R249" s="1454"/>
      <c r="S249" s="1454"/>
      <c r="T249" s="1454"/>
      <c r="U249" s="218" t="s">
        <v>922</v>
      </c>
      <c r="V249" s="218"/>
      <c r="W249" s="218"/>
      <c r="X249" s="218"/>
      <c r="Y249" s="218"/>
      <c r="Z249" s="218"/>
      <c r="AA249" s="1542" t="s">
        <v>2653</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1" t="s">
        <v>2656</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2658</v>
      </c>
      <c r="AG251" s="1541"/>
      <c r="AH251" s="1541"/>
      <c r="AI251" s="1541"/>
      <c r="AJ251" s="1541"/>
      <c r="AK251" s="1541"/>
      <c r="AU251" s="4"/>
      <c r="AV251" s="4"/>
      <c r="AW251" s="4"/>
      <c r="AX251" s="4"/>
      <c r="AY251" s="4"/>
      <c r="BN251" s="34"/>
    </row>
    <row r="252" spans="1:71" ht="12.95" customHeight="1">
      <c r="A252" s="19"/>
      <c r="B252" s="4"/>
      <c r="C252" s="4"/>
      <c r="D252" s="4" t="s">
        <v>85</v>
      </c>
      <c r="E252" s="4"/>
      <c r="F252" s="4"/>
      <c r="G252" s="4"/>
      <c r="H252" s="4"/>
      <c r="I252" s="4"/>
      <c r="J252" s="4"/>
      <c r="K252" s="4"/>
      <c r="L252" s="4"/>
      <c r="M252" s="1481" t="s">
        <v>2657</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1286</v>
      </c>
      <c r="AL252" s="4"/>
      <c r="AM252" s="4"/>
      <c r="AN252" s="4"/>
      <c r="AO252" s="4"/>
      <c r="AP252" s="4"/>
      <c r="AQ252" s="4"/>
      <c r="AR252" s="4"/>
      <c r="AS252" s="4"/>
      <c r="AT252" s="4"/>
      <c r="BN252" s="34"/>
    </row>
    <row r="253" spans="1:71" ht="12.95" customHeight="1">
      <c r="A253" s="19"/>
      <c r="B253" s="4"/>
      <c r="C253" s="4"/>
      <c r="D253" s="4" t="s">
        <v>589</v>
      </c>
      <c r="E253" s="4"/>
      <c r="M253" s="1481" t="s">
        <v>2659</v>
      </c>
      <c r="N253" s="1481"/>
      <c r="O253" s="1481"/>
      <c r="P253" s="1481"/>
      <c r="Q253" s="1481"/>
      <c r="R253" s="1481"/>
      <c r="S253" s="1481"/>
      <c r="T253" s="1481"/>
      <c r="V253" s="33" t="s">
        <v>86</v>
      </c>
      <c r="W253" s="1385" t="s">
        <v>2649</v>
      </c>
      <c r="X253" s="1385"/>
      <c r="Y253" s="4" t="s">
        <v>592</v>
      </c>
      <c r="AC253" s="1481">
        <v>92660</v>
      </c>
      <c r="AD253" s="1481"/>
      <c r="AE253" s="148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1" t="s">
        <v>2660</v>
      </c>
      <c r="N254" s="1481"/>
      <c r="O254" s="1481"/>
      <c r="P254" s="1481"/>
      <c r="Q254" s="1481"/>
      <c r="R254" s="1481"/>
      <c r="S254" s="1481"/>
      <c r="T254" s="1481"/>
      <c r="U254" s="1481"/>
      <c r="V254" s="1481"/>
      <c r="W254" s="1481"/>
      <c r="X254" s="1481"/>
      <c r="Y254" s="1481"/>
      <c r="Z254" s="1481"/>
      <c r="AA254" s="1481"/>
      <c r="AB254" s="1481"/>
      <c r="AC254" s="1481"/>
      <c r="AD254" s="1481"/>
      <c r="AE254" s="1481"/>
      <c r="AH254" s="1472">
        <v>1.0000000000000001E-5</v>
      </c>
      <c r="AI254" s="1473"/>
      <c r="AJ254" s="1473"/>
      <c r="AK254" s="1473"/>
      <c r="AL254" s="4"/>
      <c r="AM254" s="4"/>
      <c r="AN254" s="4"/>
      <c r="AO254" s="4"/>
      <c r="AP254" s="4"/>
      <c r="AQ254" s="4"/>
      <c r="AR254" s="4"/>
      <c r="AS254" s="4"/>
      <c r="AT254" s="4"/>
    </row>
    <row r="255" spans="1:71" ht="12.95" customHeight="1">
      <c r="A255" s="19"/>
      <c r="B255" s="4"/>
      <c r="C255" s="4"/>
      <c r="D255" s="4" t="s">
        <v>88</v>
      </c>
      <c r="E255" s="4"/>
      <c r="F255" s="4"/>
      <c r="M255" s="1386" t="s">
        <v>2661</v>
      </c>
      <c r="N255" s="1386"/>
      <c r="O255" s="1386"/>
      <c r="P255" s="1386"/>
      <c r="Q255" s="1386"/>
      <c r="R255" s="1386"/>
      <c r="S255" s="4" t="s">
        <v>207</v>
      </c>
      <c r="T255" s="4"/>
      <c r="U255" s="1385">
        <v>320</v>
      </c>
      <c r="V255" s="1385"/>
      <c r="W255" s="1385"/>
      <c r="X255" s="4" t="s">
        <v>89</v>
      </c>
      <c r="Z255" s="1386" t="s">
        <v>2662</v>
      </c>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9" t="s">
        <v>2663</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4" t="s">
        <v>543</v>
      </c>
      <c r="N257" s="1454"/>
      <c r="O257" s="1454"/>
      <c r="P257" s="1454"/>
      <c r="Q257" s="1454"/>
      <c r="R257" s="1454"/>
      <c r="S257" s="1454"/>
      <c r="T257" s="1454"/>
      <c r="U257" s="218" t="s">
        <v>922</v>
      </c>
      <c r="V257" s="218"/>
      <c r="W257" s="218"/>
      <c r="X257" s="218"/>
      <c r="Y257" s="218"/>
      <c r="Z257" s="218"/>
      <c r="AA257" s="1542" t="s">
        <v>2664</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308</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1"/>
      <c r="N261" s="1481"/>
      <c r="O261" s="1481"/>
      <c r="P261" s="1481"/>
      <c r="Q261" s="1481"/>
      <c r="R261" s="1481"/>
      <c r="S261" s="1481"/>
      <c r="T261" s="1481"/>
      <c r="V261" s="33" t="s">
        <v>86</v>
      </c>
      <c r="W261" s="1385"/>
      <c r="X261" s="1385"/>
      <c r="Y261" s="4" t="s">
        <v>592</v>
      </c>
      <c r="AC261" s="1481"/>
      <c r="AD261" s="1481"/>
      <c r="AE261" s="148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3"/>
      <c r="AI262" s="1473"/>
      <c r="AJ262" s="1473"/>
      <c r="AK262" s="147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4" t="s">
        <v>308</v>
      </c>
      <c r="N265" s="1454"/>
      <c r="O265" s="1454"/>
      <c r="P265" s="1454"/>
      <c r="Q265" s="1454"/>
      <c r="R265" s="1454"/>
      <c r="S265" s="1454"/>
      <c r="T265" s="1454"/>
      <c r="U265" s="218" t="s">
        <v>922</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1" t="s">
        <v>281</v>
      </c>
      <c r="E270" s="1481"/>
      <c r="F270" s="1481"/>
      <c r="G270" s="1481"/>
      <c r="H270" s="1481"/>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1" t="s">
        <v>2665</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1" t="s">
        <v>2666</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81" t="s">
        <v>2667</v>
      </c>
      <c r="M276" s="1481"/>
      <c r="N276" s="1481"/>
      <c r="O276" s="1481"/>
      <c r="P276" s="1481"/>
      <c r="Q276" s="1481"/>
      <c r="R276" s="1481"/>
      <c r="S276" s="1481"/>
      <c r="U276" s="33" t="s">
        <v>86</v>
      </c>
      <c r="V276" s="1385" t="s">
        <v>2649</v>
      </c>
      <c r="W276" s="1385"/>
      <c r="X276" s="4" t="s">
        <v>592</v>
      </c>
      <c r="AB276" s="1481">
        <v>90210</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1" t="s">
        <v>2668</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6" t="s">
        <v>2669</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39" t="s">
        <v>2670</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5" customHeight="1">
      <c r="D280" s="3" t="s">
        <v>632</v>
      </c>
      <c r="E280" s="3"/>
      <c r="F280" s="3"/>
      <c r="G280" s="3"/>
      <c r="H280" s="3"/>
      <c r="I280" s="3"/>
      <c r="L280" s="1524" t="s">
        <v>2671</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4" t="s">
        <v>550</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95"/>
      <c r="AV282" s="95"/>
      <c r="AW282" s="95"/>
      <c r="AX282" s="95"/>
      <c r="AY282" s="95"/>
      <c r="BN282" s="34"/>
    </row>
    <row r="283" spans="1:66" ht="12.95" customHeight="1">
      <c r="A283" s="1654"/>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2672</v>
      </c>
      <c r="I287" s="1384"/>
      <c r="J287" s="1384"/>
      <c r="K287" s="1384"/>
      <c r="L287" s="1384"/>
      <c r="M287" s="1384"/>
      <c r="N287" s="1384"/>
      <c r="O287" s="1384"/>
      <c r="P287" s="1384"/>
      <c r="Q287" s="1384"/>
      <c r="R287" s="1384"/>
      <c r="T287" s="3" t="s">
        <v>576</v>
      </c>
      <c r="V287" s="3"/>
      <c r="W287" s="3"/>
      <c r="X287" s="3"/>
      <c r="Y287" s="3"/>
      <c r="AA287" s="1384" t="s">
        <v>2674</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54" t="s">
        <v>2647</v>
      </c>
      <c r="I288" s="1454"/>
      <c r="J288" s="1454"/>
      <c r="K288" s="1454"/>
      <c r="L288" s="1454"/>
      <c r="M288" s="1454"/>
      <c r="N288" s="1454"/>
      <c r="O288" s="1454"/>
      <c r="P288" s="1454"/>
      <c r="Q288" s="1454"/>
      <c r="R288" s="1454"/>
      <c r="T288" s="3" t="s">
        <v>480</v>
      </c>
      <c r="V288" s="3"/>
      <c r="W288" s="3"/>
      <c r="X288" s="3"/>
      <c r="Y288" s="3"/>
      <c r="AA288" s="1454" t="s">
        <v>2675</v>
      </c>
      <c r="AB288" s="1454"/>
      <c r="AC288" s="1454"/>
      <c r="AD288" s="1454"/>
      <c r="AE288" s="1454"/>
      <c r="AF288" s="1454"/>
      <c r="AG288" s="1454"/>
      <c r="AH288" s="1454"/>
      <c r="AI288" s="1454"/>
      <c r="AJ288" s="1454"/>
      <c r="AK288" s="1454"/>
      <c r="BN288" s="34"/>
    </row>
    <row r="289" spans="2:66" ht="12.95" customHeight="1">
      <c r="B289" s="3" t="s">
        <v>481</v>
      </c>
      <c r="C289" s="3"/>
      <c r="D289" s="3"/>
      <c r="E289" s="3"/>
      <c r="F289" s="3"/>
      <c r="H289" s="1454" t="s">
        <v>2673</v>
      </c>
      <c r="I289" s="1454"/>
      <c r="J289" s="1454"/>
      <c r="K289" s="1454"/>
      <c r="L289" s="1454"/>
      <c r="M289" s="1454"/>
      <c r="N289" s="1454"/>
      <c r="O289" s="1454"/>
      <c r="P289" s="1454"/>
      <c r="Q289" s="1454"/>
      <c r="R289" s="1454"/>
      <c r="T289" s="3" t="s">
        <v>75</v>
      </c>
      <c r="V289" s="3"/>
      <c r="W289" s="3"/>
      <c r="X289" s="3"/>
      <c r="Y289" s="3"/>
      <c r="AA289" s="1454" t="s">
        <v>2676</v>
      </c>
      <c r="AB289" s="1454"/>
      <c r="AC289" s="1454"/>
      <c r="AD289" s="1454"/>
      <c r="AE289" s="1454"/>
      <c r="AF289" s="1454"/>
      <c r="AG289" s="1454"/>
      <c r="AH289" s="1454"/>
      <c r="AI289" s="1454"/>
      <c r="AJ289" s="1454"/>
      <c r="AK289" s="1454"/>
      <c r="BN289" s="34"/>
    </row>
    <row r="290" spans="2:66" ht="12.95" customHeight="1">
      <c r="B290" s="3" t="s">
        <v>87</v>
      </c>
      <c r="C290" s="3"/>
      <c r="D290" s="3"/>
      <c r="E290" s="3"/>
      <c r="F290" s="3"/>
      <c r="H290" s="1454" t="s">
        <v>2650</v>
      </c>
      <c r="I290" s="1454"/>
      <c r="J290" s="1454"/>
      <c r="K290" s="1454"/>
      <c r="L290" s="1454"/>
      <c r="M290" s="1454"/>
      <c r="N290" s="1454"/>
      <c r="O290" s="1454"/>
      <c r="P290" s="1454"/>
      <c r="Q290" s="1454"/>
      <c r="R290" s="1454"/>
      <c r="T290" s="3" t="s">
        <v>87</v>
      </c>
      <c r="V290" s="3"/>
      <c r="W290" s="3"/>
      <c r="X290" s="3"/>
      <c r="Y290" s="3"/>
      <c r="AA290" s="1454" t="s">
        <v>2677</v>
      </c>
      <c r="AB290" s="1454"/>
      <c r="AC290" s="1454"/>
      <c r="AD290" s="1454"/>
      <c r="AE290" s="1454"/>
      <c r="AF290" s="1454"/>
      <c r="AG290" s="1454"/>
      <c r="AH290" s="1454"/>
      <c r="AI290" s="1454"/>
      <c r="AJ290" s="1454"/>
      <c r="AK290" s="1454"/>
      <c r="BN290" s="34"/>
    </row>
    <row r="291" spans="2:66" ht="12.95" customHeight="1">
      <c r="B291" s="3" t="s">
        <v>88</v>
      </c>
      <c r="C291" s="3"/>
      <c r="D291" s="3"/>
      <c r="E291" s="3"/>
      <c r="F291" s="3"/>
      <c r="G291" s="3"/>
      <c r="H291" s="1725" t="s">
        <v>2651</v>
      </c>
      <c r="I291" s="1523"/>
      <c r="J291" s="1523"/>
      <c r="K291" s="1523"/>
      <c r="L291" s="1523"/>
      <c r="M291" s="1523"/>
      <c r="N291" s="4" t="s">
        <v>207</v>
      </c>
      <c r="O291" s="4"/>
      <c r="P291" s="1481"/>
      <c r="Q291" s="1481"/>
      <c r="R291" s="1481"/>
      <c r="S291" s="3"/>
      <c r="T291" s="3" t="s">
        <v>88</v>
      </c>
      <c r="V291" s="3"/>
      <c r="W291" s="3"/>
      <c r="X291" s="3"/>
      <c r="Y291" s="3"/>
      <c r="AA291" s="1523" t="s">
        <v>2678</v>
      </c>
      <c r="AB291" s="1523"/>
      <c r="AC291" s="1523"/>
      <c r="AD291" s="1523"/>
      <c r="AE291" s="1523"/>
      <c r="AF291" s="1523"/>
      <c r="AG291" s="4" t="s">
        <v>207</v>
      </c>
      <c r="AH291" s="4"/>
      <c r="AI291" s="1481"/>
      <c r="AJ291" s="1481"/>
      <c r="AK291" s="1481"/>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54" t="s">
        <v>2652</v>
      </c>
      <c r="I293" s="1454"/>
      <c r="J293" s="1454"/>
      <c r="K293" s="1454"/>
      <c r="L293" s="1454"/>
      <c r="M293" s="1454"/>
      <c r="N293" s="1384"/>
      <c r="O293" s="1384"/>
      <c r="P293" s="1384"/>
      <c r="Q293" s="1384"/>
      <c r="R293" s="1384"/>
      <c r="S293" s="3"/>
      <c r="T293" s="3" t="s">
        <v>76</v>
      </c>
      <c r="V293" s="3"/>
      <c r="W293" s="3"/>
      <c r="X293" s="3"/>
      <c r="Y293" s="3"/>
      <c r="AA293" s="1454" t="s">
        <v>2679</v>
      </c>
      <c r="AB293" s="1454"/>
      <c r="AC293" s="1454"/>
      <c r="AD293" s="1454"/>
      <c r="AE293" s="1454"/>
      <c r="AF293" s="145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2680</v>
      </c>
      <c r="I295" s="1384"/>
      <c r="J295" s="1384"/>
      <c r="K295" s="1384"/>
      <c r="L295" s="1384"/>
      <c r="M295" s="1384"/>
      <c r="N295" s="1384"/>
      <c r="O295" s="1384"/>
      <c r="P295" s="1384"/>
      <c r="Q295" s="1384"/>
      <c r="R295" s="1384"/>
      <c r="T295" s="3" t="s">
        <v>365</v>
      </c>
      <c r="V295" s="3"/>
      <c r="W295" s="3"/>
      <c r="X295" s="3"/>
      <c r="Y295" s="3"/>
      <c r="AA295" s="1384" t="s">
        <v>2686</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54" t="s">
        <v>2681</v>
      </c>
      <c r="I296" s="1454"/>
      <c r="J296" s="1454"/>
      <c r="K296" s="1454"/>
      <c r="L296" s="1454"/>
      <c r="M296" s="1454"/>
      <c r="N296" s="1454"/>
      <c r="O296" s="1454"/>
      <c r="P296" s="1454"/>
      <c r="Q296" s="1454"/>
      <c r="R296" s="1454"/>
      <c r="T296" s="3" t="s">
        <v>480</v>
      </c>
      <c r="V296" s="3"/>
      <c r="W296" s="3"/>
      <c r="X296" s="3"/>
      <c r="Y296" s="3"/>
      <c r="AA296" s="1454" t="str">
        <f>H288</f>
        <v>2007 Cedar Avenue</v>
      </c>
      <c r="AB296" s="1454"/>
      <c r="AC296" s="1454"/>
      <c r="AD296" s="1454"/>
      <c r="AE296" s="1454"/>
      <c r="AF296" s="1454"/>
      <c r="AG296" s="1454"/>
      <c r="AH296" s="1454"/>
      <c r="AI296" s="1454"/>
      <c r="AJ296" s="1454"/>
      <c r="AK296" s="1454"/>
      <c r="BN296" s="34"/>
    </row>
    <row r="297" spans="2:66" ht="12.95" customHeight="1">
      <c r="B297" s="3" t="s">
        <v>481</v>
      </c>
      <c r="C297" s="3"/>
      <c r="D297" s="3"/>
      <c r="E297" s="3"/>
      <c r="F297" s="3"/>
      <c r="H297" s="1454" t="s">
        <v>2682</v>
      </c>
      <c r="I297" s="1454"/>
      <c r="J297" s="1454"/>
      <c r="K297" s="1454"/>
      <c r="L297" s="1454"/>
      <c r="M297" s="1454"/>
      <c r="N297" s="1454"/>
      <c r="O297" s="1454"/>
      <c r="P297" s="1454"/>
      <c r="Q297" s="1454"/>
      <c r="R297" s="1454"/>
      <c r="T297" s="3" t="s">
        <v>75</v>
      </c>
      <c r="V297" s="3"/>
      <c r="W297" s="3"/>
      <c r="X297" s="3"/>
      <c r="Y297" s="3"/>
      <c r="AA297" s="1454" t="str">
        <f>H289</f>
        <v>Manhattan Beach, CA 90266</v>
      </c>
      <c r="AB297" s="1454"/>
      <c r="AC297" s="1454"/>
      <c r="AD297" s="1454"/>
      <c r="AE297" s="1454"/>
      <c r="AF297" s="1454"/>
      <c r="AG297" s="1454"/>
      <c r="AH297" s="1454"/>
      <c r="AI297" s="1454"/>
      <c r="AJ297" s="1454"/>
      <c r="AK297" s="1454"/>
      <c r="BN297" s="34"/>
    </row>
    <row r="298" spans="2:66" ht="12.95" customHeight="1">
      <c r="B298" s="3" t="s">
        <v>87</v>
      </c>
      <c r="C298" s="3"/>
      <c r="D298" s="3"/>
      <c r="E298" s="3"/>
      <c r="F298" s="3"/>
      <c r="H298" s="1454" t="s">
        <v>2683</v>
      </c>
      <c r="I298" s="1454"/>
      <c r="J298" s="1454"/>
      <c r="K298" s="1454"/>
      <c r="L298" s="1454"/>
      <c r="M298" s="1454"/>
      <c r="N298" s="1454"/>
      <c r="O298" s="1454"/>
      <c r="P298" s="1454"/>
      <c r="Q298" s="1454"/>
      <c r="R298" s="1454"/>
      <c r="T298" s="3" t="s">
        <v>87</v>
      </c>
      <c r="V298" s="3"/>
      <c r="W298" s="3"/>
      <c r="X298" s="3"/>
      <c r="Y298" s="3"/>
      <c r="AA298" s="1454" t="s">
        <v>2650</v>
      </c>
      <c r="AB298" s="1454"/>
      <c r="AC298" s="1454"/>
      <c r="AD298" s="1454"/>
      <c r="AE298" s="1454"/>
      <c r="AF298" s="1454"/>
      <c r="AG298" s="1454"/>
      <c r="AH298" s="1454"/>
      <c r="AI298" s="1454"/>
      <c r="AJ298" s="1454"/>
      <c r="AK298" s="1454"/>
      <c r="BN298" s="34"/>
    </row>
    <row r="299" spans="2:66" ht="12.95" customHeight="1">
      <c r="B299" s="3" t="s">
        <v>88</v>
      </c>
      <c r="C299" s="3"/>
      <c r="D299" s="3"/>
      <c r="E299" s="3"/>
      <c r="F299" s="3"/>
      <c r="G299" s="3"/>
      <c r="H299" s="1523" t="s">
        <v>2684</v>
      </c>
      <c r="I299" s="1523"/>
      <c r="J299" s="1523"/>
      <c r="K299" s="1523"/>
      <c r="L299" s="1523"/>
      <c r="M299" s="1523"/>
      <c r="N299" s="4" t="s">
        <v>207</v>
      </c>
      <c r="O299" s="4"/>
      <c r="P299" s="1481"/>
      <c r="Q299" s="1481"/>
      <c r="R299" s="1481"/>
      <c r="S299" s="3"/>
      <c r="T299" s="3" t="s">
        <v>88</v>
      </c>
      <c r="V299" s="3"/>
      <c r="W299" s="3"/>
      <c r="X299" s="3"/>
      <c r="Y299" s="3"/>
      <c r="AA299" s="1523" t="s">
        <v>2651</v>
      </c>
      <c r="AB299" s="1523"/>
      <c r="AC299" s="1523"/>
      <c r="AD299" s="1523"/>
      <c r="AE299" s="1523"/>
      <c r="AF299" s="1523"/>
      <c r="AG299" s="4" t="s">
        <v>207</v>
      </c>
      <c r="AH299" s="4"/>
      <c r="AI299" s="1481"/>
      <c r="AJ299" s="1481"/>
      <c r="AK299" s="1481"/>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54" t="s">
        <v>2685</v>
      </c>
      <c r="I301" s="1454"/>
      <c r="J301" s="1454"/>
      <c r="K301" s="1454"/>
      <c r="L301" s="1454"/>
      <c r="M301" s="1454"/>
      <c r="N301" s="1384"/>
      <c r="O301" s="1384"/>
      <c r="P301" s="1384"/>
      <c r="Q301" s="1384"/>
      <c r="R301" s="1384"/>
      <c r="S301" s="3"/>
      <c r="T301" s="3" t="s">
        <v>76</v>
      </c>
      <c r="V301" s="3"/>
      <c r="W301" s="3"/>
      <c r="X301" s="3"/>
      <c r="Y301" s="3"/>
      <c r="AA301" s="1454" t="s">
        <v>2652</v>
      </c>
      <c r="AB301" s="1454"/>
      <c r="AC301" s="1454"/>
      <c r="AD301" s="1454"/>
      <c r="AE301" s="1454"/>
      <c r="AF301" s="1454"/>
      <c r="AG301" s="1384"/>
      <c r="AH301" s="1384"/>
      <c r="AI301" s="1384"/>
      <c r="AJ301" s="1384"/>
      <c r="AK301" s="1384"/>
      <c r="BN301" s="34"/>
    </row>
    <row r="302" spans="2:66" ht="12.95" customHeight="1">
      <c r="BN302" s="34"/>
    </row>
    <row r="303" spans="2:66" ht="12.95" customHeight="1">
      <c r="B303" s="3" t="s">
        <v>77</v>
      </c>
      <c r="C303" s="3"/>
      <c r="D303" s="3"/>
      <c r="E303" s="3"/>
      <c r="F303" s="3"/>
      <c r="H303" s="1384" t="s">
        <v>2687</v>
      </c>
      <c r="I303" s="1384"/>
      <c r="J303" s="1384"/>
      <c r="K303" s="1384"/>
      <c r="L303" s="1384"/>
      <c r="M303" s="1384"/>
      <c r="N303" s="1384"/>
      <c r="O303" s="1384"/>
      <c r="P303" s="1384"/>
      <c r="Q303" s="1384"/>
      <c r="R303" s="1384"/>
      <c r="T303" s="4" t="s">
        <v>891</v>
      </c>
      <c r="V303" s="3"/>
      <c r="W303" s="3"/>
      <c r="X303" s="3"/>
      <c r="Y303" s="3"/>
      <c r="AA303" s="1384"/>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54" t="s">
        <v>2688</v>
      </c>
      <c r="I304" s="1454"/>
      <c r="J304" s="1454"/>
      <c r="K304" s="1454"/>
      <c r="L304" s="1454"/>
      <c r="M304" s="1454"/>
      <c r="N304" s="1454"/>
      <c r="O304" s="1454"/>
      <c r="P304" s="1454"/>
      <c r="Q304" s="1454"/>
      <c r="R304" s="1454"/>
      <c r="T304" s="3" t="s">
        <v>480</v>
      </c>
      <c r="V304" s="3"/>
      <c r="W304" s="3"/>
      <c r="X304" s="3"/>
      <c r="Y304" s="3"/>
      <c r="AA304" s="1454"/>
      <c r="AB304" s="1454"/>
      <c r="AC304" s="1454"/>
      <c r="AD304" s="1454"/>
      <c r="AE304" s="1454"/>
      <c r="AF304" s="1454"/>
      <c r="AG304" s="1454"/>
      <c r="AH304" s="1454"/>
      <c r="AI304" s="1454"/>
      <c r="AJ304" s="1454"/>
      <c r="AK304" s="1454"/>
      <c r="BN304" s="34"/>
    </row>
    <row r="305" spans="2:66" ht="12.95" customHeight="1">
      <c r="B305" s="3" t="s">
        <v>481</v>
      </c>
      <c r="C305" s="3"/>
      <c r="D305" s="3"/>
      <c r="E305" s="3"/>
      <c r="F305" s="3"/>
      <c r="H305" s="1454" t="s">
        <v>2689</v>
      </c>
      <c r="I305" s="1454"/>
      <c r="J305" s="1454"/>
      <c r="K305" s="1454"/>
      <c r="L305" s="1454"/>
      <c r="M305" s="1454"/>
      <c r="N305" s="1454"/>
      <c r="O305" s="1454"/>
      <c r="P305" s="1454"/>
      <c r="Q305" s="1454"/>
      <c r="R305" s="1454"/>
      <c r="T305" s="3" t="s">
        <v>75</v>
      </c>
      <c r="V305" s="3"/>
      <c r="W305" s="3"/>
      <c r="X305" s="3"/>
      <c r="Y305" s="3"/>
      <c r="AA305" s="1454"/>
      <c r="AB305" s="1454"/>
      <c r="AC305" s="1454"/>
      <c r="AD305" s="1454"/>
      <c r="AE305" s="1454"/>
      <c r="AF305" s="1454"/>
      <c r="AG305" s="1454"/>
      <c r="AH305" s="1454"/>
      <c r="AI305" s="1454"/>
      <c r="AJ305" s="1454"/>
      <c r="AK305" s="1454"/>
      <c r="BN305" s="34"/>
    </row>
    <row r="306" spans="2:66" ht="12.95" customHeight="1">
      <c r="B306" s="3" t="s">
        <v>87</v>
      </c>
      <c r="C306" s="3"/>
      <c r="D306" s="3"/>
      <c r="E306" s="3"/>
      <c r="F306" s="3"/>
      <c r="H306" s="1454" t="s">
        <v>2690</v>
      </c>
      <c r="I306" s="1454"/>
      <c r="J306" s="1454"/>
      <c r="K306" s="1454"/>
      <c r="L306" s="1454"/>
      <c r="M306" s="1454"/>
      <c r="N306" s="1454"/>
      <c r="O306" s="1454"/>
      <c r="P306" s="1454"/>
      <c r="Q306" s="1454"/>
      <c r="R306" s="1454"/>
      <c r="T306" s="3" t="s">
        <v>87</v>
      </c>
      <c r="V306" s="3"/>
      <c r="W306" s="3"/>
      <c r="X306" s="3"/>
      <c r="Y306" s="3"/>
      <c r="AA306" s="1454"/>
      <c r="AB306" s="1454"/>
      <c r="AC306" s="1454"/>
      <c r="AD306" s="1454"/>
      <c r="AE306" s="1454"/>
      <c r="AF306" s="1454"/>
      <c r="AG306" s="1454"/>
      <c r="AH306" s="1454"/>
      <c r="AI306" s="1454"/>
      <c r="AJ306" s="1454"/>
      <c r="AK306" s="1454"/>
      <c r="BN306" s="34"/>
    </row>
    <row r="307" spans="2:66" ht="12.95" customHeight="1">
      <c r="B307" s="3" t="s">
        <v>88</v>
      </c>
      <c r="C307" s="3"/>
      <c r="D307" s="3"/>
      <c r="E307" s="3"/>
      <c r="F307" s="3"/>
      <c r="G307" s="3"/>
      <c r="H307" s="1523" t="s">
        <v>2691</v>
      </c>
      <c r="I307" s="1523"/>
      <c r="J307" s="1523"/>
      <c r="K307" s="1523"/>
      <c r="L307" s="1523"/>
      <c r="M307" s="1523"/>
      <c r="N307" s="4" t="s">
        <v>207</v>
      </c>
      <c r="O307" s="4"/>
      <c r="P307" s="1481"/>
      <c r="Q307" s="1481"/>
      <c r="R307" s="1481"/>
      <c r="S307" s="3"/>
      <c r="T307" s="3" t="s">
        <v>88</v>
      </c>
      <c r="V307" s="3"/>
      <c r="W307" s="3"/>
      <c r="X307" s="3"/>
      <c r="Y307" s="3"/>
      <c r="AA307" s="1523"/>
      <c r="AB307" s="1523"/>
      <c r="AC307" s="1523"/>
      <c r="AD307" s="1523"/>
      <c r="AE307" s="1523"/>
      <c r="AF307" s="1523"/>
      <c r="AG307" s="4" t="s">
        <v>207</v>
      </c>
      <c r="AH307" s="4"/>
      <c r="AI307" s="1481"/>
      <c r="AJ307" s="1481"/>
      <c r="AK307" s="1481"/>
      <c r="BN307" s="34"/>
    </row>
    <row r="308" spans="2:66" ht="12.95" customHeight="1">
      <c r="B308" s="3" t="s">
        <v>89</v>
      </c>
      <c r="C308" s="3"/>
      <c r="D308" s="3"/>
      <c r="E308" s="3"/>
      <c r="F308" s="3"/>
      <c r="G308" s="3"/>
      <c r="H308" s="1386" t="s">
        <v>2692</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54" t="s">
        <v>2693</v>
      </c>
      <c r="I309" s="1454"/>
      <c r="J309" s="1454"/>
      <c r="K309" s="1454"/>
      <c r="L309" s="1454"/>
      <c r="M309" s="1454"/>
      <c r="N309" s="1384"/>
      <c r="O309" s="1384"/>
      <c r="P309" s="1384"/>
      <c r="Q309" s="1384"/>
      <c r="R309" s="1384"/>
      <c r="S309" s="3"/>
      <c r="T309" s="3" t="s">
        <v>76</v>
      </c>
      <c r="V309" s="3"/>
      <c r="W309" s="3"/>
      <c r="X309" s="3"/>
      <c r="Y309" s="3"/>
      <c r="AA309" s="1454"/>
      <c r="AB309" s="1454"/>
      <c r="AC309" s="1454"/>
      <c r="AD309" s="1454"/>
      <c r="AE309" s="1454"/>
      <c r="AF309" s="145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2687</v>
      </c>
      <c r="I311" s="1384"/>
      <c r="J311" s="1384"/>
      <c r="K311" s="1384"/>
      <c r="L311" s="1384"/>
      <c r="M311" s="1384"/>
      <c r="N311" s="1384"/>
      <c r="O311" s="1384"/>
      <c r="P311" s="1384"/>
      <c r="Q311" s="1384"/>
      <c r="R311" s="1384"/>
      <c r="S311" s="3"/>
      <c r="T311" s="3" t="s">
        <v>366</v>
      </c>
      <c r="V311" s="3"/>
      <c r="W311" s="3"/>
      <c r="X311" s="3"/>
      <c r="Y311" s="3"/>
      <c r="AA311" s="1384" t="s">
        <v>2694</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54" t="s">
        <v>2688</v>
      </c>
      <c r="I312" s="1454"/>
      <c r="J312" s="1454"/>
      <c r="K312" s="1454"/>
      <c r="L312" s="1454"/>
      <c r="M312" s="1454"/>
      <c r="N312" s="1454"/>
      <c r="O312" s="1454"/>
      <c r="P312" s="1454"/>
      <c r="Q312" s="1454"/>
      <c r="R312" s="1454"/>
      <c r="S312" s="3"/>
      <c r="T312" s="3" t="s">
        <v>480</v>
      </c>
      <c r="V312" s="3"/>
      <c r="W312" s="3"/>
      <c r="X312" s="3"/>
      <c r="Y312" s="3"/>
      <c r="AA312" s="1454" t="s">
        <v>2695</v>
      </c>
      <c r="AB312" s="1454"/>
      <c r="AC312" s="1454"/>
      <c r="AD312" s="1454"/>
      <c r="AE312" s="1454"/>
      <c r="AF312" s="1454"/>
      <c r="AG312" s="1454"/>
      <c r="AH312" s="1454"/>
      <c r="AI312" s="1454"/>
      <c r="AJ312" s="1454"/>
      <c r="AK312" s="1454"/>
      <c r="BN312" s="34"/>
    </row>
    <row r="313" spans="2:66" ht="12.95" customHeight="1">
      <c r="B313" s="3" t="s">
        <v>481</v>
      </c>
      <c r="C313" s="3"/>
      <c r="D313" s="3"/>
      <c r="E313" s="3"/>
      <c r="F313" s="3"/>
      <c r="H313" s="1454" t="s">
        <v>2689</v>
      </c>
      <c r="I313" s="1454"/>
      <c r="J313" s="1454"/>
      <c r="K313" s="1454"/>
      <c r="L313" s="1454"/>
      <c r="M313" s="1454"/>
      <c r="N313" s="1454"/>
      <c r="O313" s="1454"/>
      <c r="P313" s="1454"/>
      <c r="Q313" s="1454"/>
      <c r="R313" s="1454"/>
      <c r="S313" s="3"/>
      <c r="T313" s="3" t="s">
        <v>75</v>
      </c>
      <c r="V313" s="3"/>
      <c r="W313" s="3"/>
      <c r="X313" s="3"/>
      <c r="Y313" s="3"/>
      <c r="AA313" s="1454" t="s">
        <v>2696</v>
      </c>
      <c r="AB313" s="1454"/>
      <c r="AC313" s="1454"/>
      <c r="AD313" s="1454"/>
      <c r="AE313" s="1454"/>
      <c r="AF313" s="1454"/>
      <c r="AG313" s="1454"/>
      <c r="AH313" s="1454"/>
      <c r="AI313" s="1454"/>
      <c r="AJ313" s="1454"/>
      <c r="AK313" s="1454"/>
      <c r="BN313" s="34"/>
    </row>
    <row r="314" spans="2:66" ht="12.95" customHeight="1">
      <c r="B314" s="3" t="s">
        <v>87</v>
      </c>
      <c r="C314" s="3"/>
      <c r="D314" s="3"/>
      <c r="E314" s="3"/>
      <c r="F314" s="3"/>
      <c r="H314" s="1454" t="s">
        <v>2690</v>
      </c>
      <c r="I314" s="1454"/>
      <c r="J314" s="1454"/>
      <c r="K314" s="1454"/>
      <c r="L314" s="1454"/>
      <c r="M314" s="1454"/>
      <c r="N314" s="1454"/>
      <c r="O314" s="1454"/>
      <c r="P314" s="1454"/>
      <c r="Q314" s="1454"/>
      <c r="R314" s="1454"/>
      <c r="S314" s="3"/>
      <c r="T314" s="3" t="s">
        <v>87</v>
      </c>
      <c r="V314" s="3"/>
      <c r="W314" s="3"/>
      <c r="X314" s="3"/>
      <c r="Y314" s="3"/>
      <c r="AA314" s="1454" t="s">
        <v>2697</v>
      </c>
      <c r="AB314" s="1454"/>
      <c r="AC314" s="1454"/>
      <c r="AD314" s="1454"/>
      <c r="AE314" s="1454"/>
      <c r="AF314" s="1454"/>
      <c r="AG314" s="1454"/>
      <c r="AH314" s="1454"/>
      <c r="AI314" s="1454"/>
      <c r="AJ314" s="1454"/>
      <c r="AK314" s="1454"/>
      <c r="BN314" s="34"/>
    </row>
    <row r="315" spans="2:66" ht="12.95" customHeight="1">
      <c r="B315" s="3" t="s">
        <v>88</v>
      </c>
      <c r="C315" s="3"/>
      <c r="D315" s="3"/>
      <c r="E315" s="3"/>
      <c r="F315" s="3"/>
      <c r="G315" s="3"/>
      <c r="H315" s="1523" t="s">
        <v>2691</v>
      </c>
      <c r="I315" s="1523"/>
      <c r="J315" s="1523"/>
      <c r="K315" s="1523"/>
      <c r="L315" s="1523"/>
      <c r="M315" s="1523"/>
      <c r="N315" s="4" t="s">
        <v>207</v>
      </c>
      <c r="O315" s="4"/>
      <c r="P315" s="1481"/>
      <c r="Q315" s="1481"/>
      <c r="R315" s="1481"/>
      <c r="S315" s="3"/>
      <c r="T315" s="3" t="s">
        <v>88</v>
      </c>
      <c r="V315" s="3"/>
      <c r="W315" s="3"/>
      <c r="X315" s="3"/>
      <c r="Y315" s="3"/>
      <c r="AA315" s="1523" t="s">
        <v>2698</v>
      </c>
      <c r="AB315" s="1523"/>
      <c r="AC315" s="1523"/>
      <c r="AD315" s="1523"/>
      <c r="AE315" s="1523"/>
      <c r="AF315" s="1523"/>
      <c r="AG315" s="4" t="s">
        <v>207</v>
      </c>
      <c r="AH315" s="4"/>
      <c r="AI315" s="1481"/>
      <c r="AJ315" s="1481"/>
      <c r="AK315" s="1481"/>
      <c r="BN315" s="34"/>
    </row>
    <row r="316" spans="2:66" ht="12.95" customHeight="1">
      <c r="B316" s="3" t="s">
        <v>89</v>
      </c>
      <c r="C316" s="3"/>
      <c r="D316" s="3"/>
      <c r="E316" s="3"/>
      <c r="F316" s="3"/>
      <c r="G316" s="3"/>
      <c r="H316" s="1386" t="s">
        <v>2692</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54" t="s">
        <v>2693</v>
      </c>
      <c r="I317" s="1454"/>
      <c r="J317" s="1454"/>
      <c r="K317" s="1454"/>
      <c r="L317" s="1454"/>
      <c r="M317" s="1454"/>
      <c r="N317" s="1384"/>
      <c r="O317" s="1384"/>
      <c r="P317" s="1384"/>
      <c r="Q317" s="1384"/>
      <c r="R317" s="1384"/>
      <c r="S317" s="3"/>
      <c r="T317" s="3" t="s">
        <v>76</v>
      </c>
      <c r="V317" s="3"/>
      <c r="W317" s="3"/>
      <c r="X317" s="3"/>
      <c r="Y317" s="3"/>
      <c r="AA317" s="1454" t="s">
        <v>2699</v>
      </c>
      <c r="AB317" s="1454"/>
      <c r="AC317" s="1454"/>
      <c r="AD317" s="1454"/>
      <c r="AE317" s="1454"/>
      <c r="AF317" s="1454"/>
      <c r="AG317" s="1384"/>
      <c r="AH317" s="1384"/>
      <c r="AI317" s="1384"/>
      <c r="AJ317" s="1384"/>
      <c r="AK317" s="1384"/>
      <c r="BN317" s="34"/>
    </row>
    <row r="318" spans="2:66" ht="12.95" customHeight="1">
      <c r="BN318" s="34"/>
    </row>
    <row r="319" spans="2:66" ht="12.95" customHeight="1">
      <c r="B319" s="4" t="s">
        <v>924</v>
      </c>
      <c r="C319" s="3"/>
      <c r="D319" s="3"/>
      <c r="E319" s="3"/>
      <c r="F319" s="3"/>
      <c r="H319" s="1384" t="s">
        <v>2665</v>
      </c>
      <c r="I319" s="1384"/>
      <c r="J319" s="1384"/>
      <c r="K319" s="1384"/>
      <c r="L319" s="1384"/>
      <c r="M319" s="1384"/>
      <c r="N319" s="1384"/>
      <c r="O319" s="1384"/>
      <c r="P319" s="1384"/>
      <c r="Q319" s="1384"/>
      <c r="R319" s="1384"/>
      <c r="T319" s="3" t="s">
        <v>367</v>
      </c>
      <c r="V319" s="3"/>
      <c r="W319" s="3"/>
      <c r="X319" s="3"/>
      <c r="Y319" s="3"/>
      <c r="AA319" s="1384" t="s">
        <v>2687</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54" t="s">
        <v>2700</v>
      </c>
      <c r="I320" s="1454"/>
      <c r="J320" s="1454"/>
      <c r="K320" s="1454"/>
      <c r="L320" s="1454"/>
      <c r="M320" s="1454"/>
      <c r="N320" s="1454"/>
      <c r="O320" s="1454"/>
      <c r="P320" s="1454"/>
      <c r="Q320" s="1454"/>
      <c r="R320" s="1454"/>
      <c r="T320" s="3" t="s">
        <v>480</v>
      </c>
      <c r="V320" s="3"/>
      <c r="W320" s="3"/>
      <c r="X320" s="3"/>
      <c r="Y320" s="3"/>
      <c r="AA320" s="1454" t="s">
        <v>2702</v>
      </c>
      <c r="AB320" s="1454"/>
      <c r="AC320" s="1454"/>
      <c r="AD320" s="1454"/>
      <c r="AE320" s="1454"/>
      <c r="AF320" s="1454"/>
      <c r="AG320" s="1454"/>
      <c r="AH320" s="1454"/>
      <c r="AI320" s="1454"/>
      <c r="AJ320" s="1454"/>
      <c r="AK320" s="1454"/>
      <c r="BN320" s="34"/>
    </row>
    <row r="321" spans="2:66" ht="12.95" customHeight="1">
      <c r="B321" s="3" t="s">
        <v>481</v>
      </c>
      <c r="C321" s="3"/>
      <c r="D321" s="3"/>
      <c r="E321" s="3"/>
      <c r="F321" s="3"/>
      <c r="H321" s="1454" t="s">
        <v>2701</v>
      </c>
      <c r="I321" s="1454"/>
      <c r="J321" s="1454"/>
      <c r="K321" s="1454"/>
      <c r="L321" s="1454"/>
      <c r="M321" s="1454"/>
      <c r="N321" s="1454"/>
      <c r="O321" s="1454"/>
      <c r="P321" s="1454"/>
      <c r="Q321" s="1454"/>
      <c r="R321" s="1454"/>
      <c r="T321" s="3" t="s">
        <v>75</v>
      </c>
      <c r="V321" s="3"/>
      <c r="W321" s="3"/>
      <c r="X321" s="3"/>
      <c r="Y321" s="3"/>
      <c r="AA321" s="1454" t="s">
        <v>2703</v>
      </c>
      <c r="AB321" s="1454"/>
      <c r="AC321" s="1454"/>
      <c r="AD321" s="1454"/>
      <c r="AE321" s="1454"/>
      <c r="AF321" s="1454"/>
      <c r="AG321" s="1454"/>
      <c r="AH321" s="1454"/>
      <c r="AI321" s="1454"/>
      <c r="AJ321" s="1454"/>
      <c r="AK321" s="1454"/>
      <c r="BN321" s="34"/>
    </row>
    <row r="322" spans="2:66" ht="12.95" customHeight="1">
      <c r="B322" s="3" t="s">
        <v>87</v>
      </c>
      <c r="C322" s="3"/>
      <c r="D322" s="3"/>
      <c r="E322" s="3"/>
      <c r="F322" s="3"/>
      <c r="H322" s="1454" t="s">
        <v>2668</v>
      </c>
      <c r="I322" s="1454"/>
      <c r="J322" s="1454"/>
      <c r="K322" s="1454"/>
      <c r="L322" s="1454"/>
      <c r="M322" s="1454"/>
      <c r="N322" s="1454"/>
      <c r="O322" s="1454"/>
      <c r="P322" s="1454"/>
      <c r="Q322" s="1454"/>
      <c r="R322" s="1454"/>
      <c r="T322" s="3" t="s">
        <v>87</v>
      </c>
      <c r="V322" s="3"/>
      <c r="W322" s="3"/>
      <c r="X322" s="3"/>
      <c r="Y322" s="3"/>
      <c r="AA322" s="1454" t="s">
        <v>2704</v>
      </c>
      <c r="AB322" s="1454"/>
      <c r="AC322" s="1454"/>
      <c r="AD322" s="1454"/>
      <c r="AE322" s="1454"/>
      <c r="AF322" s="1454"/>
      <c r="AG322" s="1454"/>
      <c r="AH322" s="1454"/>
      <c r="AI322" s="1454"/>
      <c r="AJ322" s="1454"/>
      <c r="AK322" s="1454"/>
      <c r="BN322" s="34"/>
    </row>
    <row r="323" spans="2:66" ht="12.95" customHeight="1">
      <c r="B323" s="3" t="s">
        <v>88</v>
      </c>
      <c r="C323" s="3"/>
      <c r="D323" s="3"/>
      <c r="E323" s="3"/>
      <c r="F323" s="3"/>
      <c r="G323" s="3"/>
      <c r="H323" s="1523" t="s">
        <v>2669</v>
      </c>
      <c r="I323" s="1523"/>
      <c r="J323" s="1523"/>
      <c r="K323" s="1523"/>
      <c r="L323" s="1523"/>
      <c r="M323" s="1523"/>
      <c r="N323" s="4" t="s">
        <v>207</v>
      </c>
      <c r="O323" s="4"/>
      <c r="P323" s="1481">
        <v>315</v>
      </c>
      <c r="Q323" s="1481"/>
      <c r="R323" s="1481"/>
      <c r="S323" s="3"/>
      <c r="T323" s="3" t="s">
        <v>88</v>
      </c>
      <c r="V323" s="3"/>
      <c r="W323" s="3"/>
      <c r="X323" s="3"/>
      <c r="Y323" s="3"/>
      <c r="AA323" s="1523" t="s">
        <v>2705</v>
      </c>
      <c r="AB323" s="1523"/>
      <c r="AC323" s="1523"/>
      <c r="AD323" s="1523"/>
      <c r="AE323" s="1523"/>
      <c r="AF323" s="1523"/>
      <c r="AG323" s="4" t="s">
        <v>207</v>
      </c>
      <c r="AH323" s="4"/>
      <c r="AI323" s="1481"/>
      <c r="AJ323" s="1481"/>
      <c r="AK323" s="1481"/>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54" t="s">
        <v>2670</v>
      </c>
      <c r="I325" s="1454"/>
      <c r="J325" s="1454"/>
      <c r="K325" s="1454"/>
      <c r="L325" s="1454"/>
      <c r="M325" s="1454"/>
      <c r="N325" s="1384"/>
      <c r="O325" s="1384"/>
      <c r="P325" s="1384"/>
      <c r="Q325" s="1384"/>
      <c r="R325" s="1384"/>
      <c r="S325" s="3"/>
      <c r="T325" s="3" t="s">
        <v>76</v>
      </c>
      <c r="V325" s="3"/>
      <c r="W325" s="3"/>
      <c r="X325" s="3"/>
      <c r="Y325" s="3"/>
      <c r="AA325" s="1454" t="s">
        <v>2706</v>
      </c>
      <c r="AB325" s="1454"/>
      <c r="AC325" s="1454"/>
      <c r="AD325" s="1454"/>
      <c r="AE325" s="1454"/>
      <c r="AF325" s="145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2777</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54" t="s">
        <v>2778</v>
      </c>
      <c r="I328" s="1454"/>
      <c r="J328" s="1454"/>
      <c r="K328" s="1454"/>
      <c r="L328" s="1454"/>
      <c r="M328" s="1454"/>
      <c r="N328" s="1454"/>
      <c r="O328" s="1454"/>
      <c r="P328" s="1454"/>
      <c r="Q328" s="1454"/>
      <c r="R328" s="1454"/>
      <c r="T328" s="3" t="s">
        <v>480</v>
      </c>
      <c r="V328" s="3"/>
      <c r="W328" s="3"/>
      <c r="X328" s="3"/>
      <c r="Y328" s="3"/>
      <c r="AA328" s="1454"/>
      <c r="AB328" s="1454"/>
      <c r="AC328" s="1454"/>
      <c r="AD328" s="1454"/>
      <c r="AE328" s="1454"/>
      <c r="AF328" s="1454"/>
      <c r="AG328" s="1454"/>
      <c r="AH328" s="1454"/>
      <c r="AI328" s="1454"/>
      <c r="AJ328" s="1454"/>
      <c r="AK328" s="1454"/>
    </row>
    <row r="329" spans="2:66" ht="12.95" customHeight="1">
      <c r="B329" s="3" t="s">
        <v>481</v>
      </c>
      <c r="C329" s="3"/>
      <c r="D329" s="3"/>
      <c r="E329" s="3"/>
      <c r="F329" s="3"/>
      <c r="H329" s="1454" t="s">
        <v>2779</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2.95" customHeight="1">
      <c r="B330" s="3" t="s">
        <v>87</v>
      </c>
      <c r="C330" s="3"/>
      <c r="D330" s="3"/>
      <c r="E330" s="3"/>
      <c r="F330" s="3"/>
      <c r="H330" s="1454" t="s">
        <v>2780</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2.95" customHeight="1">
      <c r="B331" s="3" t="s">
        <v>88</v>
      </c>
      <c r="C331" s="3"/>
      <c r="D331" s="3"/>
      <c r="E331" s="3"/>
      <c r="F331" s="3"/>
      <c r="G331" s="3"/>
      <c r="H331" s="1725" t="s">
        <v>2782</v>
      </c>
      <c r="I331" s="1523"/>
      <c r="J331" s="1523"/>
      <c r="K331" s="1523"/>
      <c r="L331" s="1523"/>
      <c r="M331" s="1523"/>
      <c r="N331" s="4" t="s">
        <v>207</v>
      </c>
      <c r="O331" s="4"/>
      <c r="P331" s="1481"/>
      <c r="Q331" s="1481"/>
      <c r="R331" s="1481"/>
      <c r="S331" s="3"/>
      <c r="T331" s="3" t="s">
        <v>88</v>
      </c>
      <c r="V331" s="3"/>
      <c r="W331" s="3"/>
      <c r="X331" s="3"/>
      <c r="Y331" s="3"/>
      <c r="AA331" s="1523"/>
      <c r="AB331" s="1523"/>
      <c r="AC331" s="1523"/>
      <c r="AD331" s="1523"/>
      <c r="AE331" s="1523"/>
      <c r="AF331" s="1523"/>
      <c r="AG331" s="4" t="s">
        <v>207</v>
      </c>
      <c r="AH331" s="4"/>
      <c r="AI331" s="1481"/>
      <c r="AJ331" s="1481"/>
      <c r="AK331" s="1481"/>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54" t="s">
        <v>2781</v>
      </c>
      <c r="I333" s="1454"/>
      <c r="J333" s="1454"/>
      <c r="K333" s="1454"/>
      <c r="L333" s="1454"/>
      <c r="M333" s="1454"/>
      <c r="N333" s="1384"/>
      <c r="O333" s="1384"/>
      <c r="P333" s="1384"/>
      <c r="Q333" s="1384"/>
      <c r="R333" s="1384"/>
      <c r="S333" s="3"/>
      <c r="T333" s="3" t="s">
        <v>76</v>
      </c>
      <c r="V333" s="3"/>
      <c r="W333" s="3"/>
      <c r="X333" s="3"/>
      <c r="Y333" s="3"/>
      <c r="AA333" s="1454"/>
      <c r="AB333" s="1454"/>
      <c r="AC333" s="1454"/>
      <c r="AD333" s="1454"/>
      <c r="AE333" s="1454"/>
      <c r="AF333" s="145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2707</v>
      </c>
      <c r="I335" s="1384"/>
      <c r="J335" s="1384"/>
      <c r="K335" s="1384"/>
      <c r="L335" s="1384"/>
      <c r="M335" s="1384"/>
      <c r="N335" s="1384"/>
      <c r="O335" s="1384"/>
      <c r="P335" s="1384"/>
      <c r="Q335" s="1384"/>
      <c r="R335" s="1384"/>
      <c r="T335" s="218" t="s">
        <v>900</v>
      </c>
      <c r="V335" s="3"/>
      <c r="W335" s="3"/>
      <c r="X335" s="3"/>
      <c r="Y335" s="3"/>
      <c r="AA335" s="1384" t="s">
        <v>2713</v>
      </c>
      <c r="AB335" s="1384"/>
      <c r="AC335" s="1384"/>
      <c r="AD335" s="1384"/>
      <c r="AE335" s="1384"/>
      <c r="AF335" s="1384"/>
      <c r="AG335" s="1384"/>
      <c r="AH335" s="1384"/>
      <c r="AI335" s="1384"/>
      <c r="AJ335" s="1384"/>
      <c r="AK335" s="1384"/>
    </row>
    <row r="336" spans="2:66" ht="12.95" customHeight="1">
      <c r="B336" s="3" t="s">
        <v>480</v>
      </c>
      <c r="C336" s="3"/>
      <c r="D336" s="3"/>
      <c r="E336" s="3"/>
      <c r="F336" s="3"/>
      <c r="H336" s="1454" t="s">
        <v>2708</v>
      </c>
      <c r="I336" s="1454"/>
      <c r="J336" s="1454"/>
      <c r="K336" s="1454"/>
      <c r="L336" s="1454"/>
      <c r="M336" s="1454"/>
      <c r="N336" s="1454"/>
      <c r="O336" s="1454"/>
      <c r="P336" s="1454"/>
      <c r="Q336" s="1454"/>
      <c r="R336" s="1454"/>
      <c r="T336" s="3" t="s">
        <v>480</v>
      </c>
      <c r="V336" s="3"/>
      <c r="W336" s="3"/>
      <c r="X336" s="3"/>
      <c r="Y336" s="3"/>
      <c r="AA336" s="1454" t="s">
        <v>2714</v>
      </c>
      <c r="AB336" s="1454"/>
      <c r="AC336" s="1454"/>
      <c r="AD336" s="1454"/>
      <c r="AE336" s="1454"/>
      <c r="AF336" s="1454"/>
      <c r="AG336" s="1454"/>
      <c r="AH336" s="1454"/>
      <c r="AI336" s="1454"/>
      <c r="AJ336" s="1454"/>
      <c r="AK336" s="1454"/>
    </row>
    <row r="337" spans="1:66" ht="12.95" customHeight="1">
      <c r="B337" s="3" t="s">
        <v>75</v>
      </c>
      <c r="C337" s="3"/>
      <c r="D337" s="3"/>
      <c r="E337" s="3"/>
      <c r="F337" s="3"/>
      <c r="H337" s="1454" t="s">
        <v>2709</v>
      </c>
      <c r="I337" s="1454"/>
      <c r="J337" s="1454"/>
      <c r="K337" s="1454"/>
      <c r="L337" s="1454"/>
      <c r="M337" s="1454"/>
      <c r="N337" s="1454"/>
      <c r="O337" s="1454"/>
      <c r="P337" s="1454"/>
      <c r="Q337" s="1454"/>
      <c r="R337" s="1454"/>
      <c r="T337" s="3" t="s">
        <v>75</v>
      </c>
      <c r="V337" s="3"/>
      <c r="W337" s="3"/>
      <c r="X337" s="3"/>
      <c r="Y337" s="3"/>
      <c r="AA337" s="1454" t="s">
        <v>2715</v>
      </c>
      <c r="AB337" s="1454"/>
      <c r="AC337" s="1454"/>
      <c r="AD337" s="1454"/>
      <c r="AE337" s="1454"/>
      <c r="AF337" s="1454"/>
      <c r="AG337" s="1454"/>
      <c r="AH337" s="1454"/>
      <c r="AI337" s="1454"/>
      <c r="AJ337" s="1454"/>
      <c r="AK337" s="1454"/>
    </row>
    <row r="338" spans="1:66" ht="12.95" customHeight="1">
      <c r="B338" s="3" t="s">
        <v>87</v>
      </c>
      <c r="C338" s="3"/>
      <c r="D338" s="3"/>
      <c r="E338" s="3"/>
      <c r="F338" s="3"/>
      <c r="G338" s="3"/>
      <c r="H338" s="1454" t="s">
        <v>2710</v>
      </c>
      <c r="I338" s="1454"/>
      <c r="J338" s="1454"/>
      <c r="K338" s="1454"/>
      <c r="L338" s="1454"/>
      <c r="M338" s="1454"/>
      <c r="N338" s="1454"/>
      <c r="O338" s="1454"/>
      <c r="P338" s="1454"/>
      <c r="Q338" s="1454"/>
      <c r="R338" s="1454"/>
      <c r="T338" s="3" t="s">
        <v>87</v>
      </c>
      <c r="V338" s="3"/>
      <c r="W338" s="3"/>
      <c r="X338" s="3"/>
      <c r="Y338" s="3"/>
      <c r="AA338" s="1454" t="s">
        <v>2716</v>
      </c>
      <c r="AB338" s="1454"/>
      <c r="AC338" s="1454"/>
      <c r="AD338" s="1454"/>
      <c r="AE338" s="1454"/>
      <c r="AF338" s="1454"/>
      <c r="AG338" s="1454"/>
      <c r="AH338" s="1454"/>
      <c r="AI338" s="1454"/>
      <c r="AJ338" s="1454"/>
      <c r="AK338" s="1454"/>
    </row>
    <row r="339" spans="1:66" ht="12.95" customHeight="1">
      <c r="B339" s="3" t="s">
        <v>88</v>
      </c>
      <c r="C339" s="3"/>
      <c r="D339" s="3"/>
      <c r="E339" s="3"/>
      <c r="F339" s="3"/>
      <c r="G339" s="3"/>
      <c r="H339" s="1523" t="s">
        <v>2711</v>
      </c>
      <c r="I339" s="1523"/>
      <c r="J339" s="1523"/>
      <c r="K339" s="1523"/>
      <c r="L339" s="1523"/>
      <c r="M339" s="1523"/>
      <c r="N339" s="4" t="s">
        <v>207</v>
      </c>
      <c r="O339" s="4"/>
      <c r="P339" s="1481"/>
      <c r="Q339" s="1481"/>
      <c r="R339" s="1481"/>
      <c r="S339" s="3"/>
      <c r="T339" s="3" t="s">
        <v>88</v>
      </c>
      <c r="V339" s="3"/>
      <c r="W339" s="3"/>
      <c r="X339" s="3"/>
      <c r="Y339" s="3"/>
      <c r="AA339" s="1523" t="s">
        <v>2717</v>
      </c>
      <c r="AB339" s="1523"/>
      <c r="AC339" s="1523"/>
      <c r="AD339" s="1523"/>
      <c r="AE339" s="1523"/>
      <c r="AF339" s="1523"/>
      <c r="AG339" s="4" t="s">
        <v>207</v>
      </c>
      <c r="AH339" s="4"/>
      <c r="AI339" s="1481"/>
      <c r="AJ339" s="1481"/>
      <c r="AK339" s="1481"/>
    </row>
    <row r="340" spans="1:66" ht="12.95"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54" t="s">
        <v>2712</v>
      </c>
      <c r="I341" s="1454"/>
      <c r="J341" s="1454"/>
      <c r="K341" s="1454"/>
      <c r="L341" s="1454"/>
      <c r="M341" s="1454"/>
      <c r="N341" s="1384"/>
      <c r="O341" s="1384"/>
      <c r="P341" s="1384"/>
      <c r="Q341" s="1384"/>
      <c r="R341" s="1384"/>
      <c r="S341" s="3"/>
      <c r="T341" s="3" t="s">
        <v>76</v>
      </c>
      <c r="V341" s="3"/>
      <c r="W341" s="3"/>
      <c r="X341" s="3"/>
      <c r="Y341" s="3"/>
      <c r="AA341" s="1454" t="s">
        <v>2718</v>
      </c>
      <c r="AB341" s="1454"/>
      <c r="AC341" s="1454"/>
      <c r="AD341" s="1454"/>
      <c r="AE341" s="1454"/>
      <c r="AF341" s="145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54"/>
      <c r="Q344" s="1454"/>
      <c r="R344" s="1454"/>
      <c r="S344" s="1454"/>
      <c r="T344" s="1454"/>
      <c r="U344" s="1454"/>
      <c r="V344" s="1454"/>
      <c r="W344" s="1454"/>
      <c r="X344" s="1454"/>
      <c r="Y344" s="1454"/>
      <c r="Z344" s="1454"/>
      <c r="AA344" s="1454"/>
      <c r="AB344" s="1454"/>
      <c r="AC344" s="1454"/>
      <c r="AD344" s="1454"/>
      <c r="AE344" s="1454"/>
      <c r="BN344" t="s">
        <v>554</v>
      </c>
    </row>
    <row r="345" spans="1:66" ht="12.9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2.9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4" t="s">
        <v>551</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95"/>
      <c r="AV351" s="95"/>
      <c r="AW351" s="95"/>
      <c r="AX351" s="95"/>
      <c r="AY351" s="95"/>
    </row>
    <row r="352" spans="1:66" ht="12.95" customHeight="1">
      <c r="A352" s="1654"/>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2414</v>
      </c>
      <c r="M355" s="1380" t="s">
        <v>554</v>
      </c>
      <c r="N355" s="1380"/>
      <c r="P355" t="s">
        <v>1764</v>
      </c>
      <c r="AJ355" s="1380" t="s">
        <v>600</v>
      </c>
      <c r="AK355" s="1380"/>
    </row>
    <row r="356" spans="1:46" ht="12.95" customHeight="1">
      <c r="D356" s="3" t="s">
        <v>1753</v>
      </c>
      <c r="M356" s="1380" t="s">
        <v>600</v>
      </c>
      <c r="N356" s="1380"/>
      <c r="P356" s="3" t="s">
        <v>1910</v>
      </c>
      <c r="AJ356" s="1407"/>
      <c r="AK356" s="1407"/>
    </row>
    <row r="357" spans="1:46" ht="12.95" customHeight="1">
      <c r="D357" s="3" t="s">
        <v>714</v>
      </c>
      <c r="M357" s="1380" t="s">
        <v>600</v>
      </c>
      <c r="N357" s="1380"/>
      <c r="P357" t="s">
        <v>1763</v>
      </c>
      <c r="AJ357" s="1380" t="s">
        <v>600</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716</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457</v>
      </c>
      <c r="F370" s="4"/>
      <c r="G370" s="4"/>
      <c r="H370" s="4"/>
      <c r="I370" s="4"/>
      <c r="J370" s="4"/>
      <c r="K370" s="4"/>
      <c r="L370" s="4"/>
      <c r="N370" s="1451"/>
      <c r="O370" s="1451"/>
      <c r="P370" s="1451"/>
      <c r="Q370" s="1451"/>
      <c r="R370" s="4"/>
      <c r="U370" s="4" t="s">
        <v>458</v>
      </c>
      <c r="V370" s="4"/>
      <c r="W370" s="4"/>
      <c r="X370" s="4"/>
      <c r="Y370" s="4"/>
      <c r="Z370" s="4"/>
      <c r="AA370" s="4"/>
      <c r="AB370" s="4"/>
      <c r="AC370" s="1451"/>
      <c r="AD370" s="1451"/>
      <c r="AE370" s="1451"/>
      <c r="AF370" s="1451"/>
    </row>
    <row r="371" spans="1:34" ht="12.95" customHeight="1">
      <c r="E371" s="4" t="s">
        <v>459</v>
      </c>
      <c r="F371" s="4"/>
      <c r="G371" s="4"/>
      <c r="H371" s="4"/>
      <c r="I371" s="4"/>
      <c r="J371" s="4"/>
      <c r="K371" s="4"/>
      <c r="L371" s="4"/>
      <c r="N371" s="1451"/>
      <c r="O371" s="1451"/>
      <c r="P371" s="1451"/>
      <c r="Q371" s="1451"/>
      <c r="R371" s="4"/>
      <c r="U371" s="4" t="s">
        <v>0</v>
      </c>
      <c r="V371" s="4"/>
      <c r="W371" s="4"/>
      <c r="X371" s="4"/>
      <c r="Y371" s="4"/>
      <c r="Z371" s="4"/>
      <c r="AA371" s="4"/>
      <c r="AB371" s="4"/>
      <c r="AC371" s="1451"/>
      <c r="AD371" s="1451"/>
      <c r="AE371" s="1451"/>
      <c r="AF371" s="1451"/>
    </row>
    <row r="372" spans="1:34" ht="12.95" customHeight="1">
      <c r="E372" s="4" t="s">
        <v>1</v>
      </c>
      <c r="F372" s="4"/>
      <c r="G372" s="4"/>
      <c r="H372" s="4"/>
      <c r="I372" s="4"/>
      <c r="J372" s="4"/>
      <c r="K372" s="4"/>
      <c r="L372" s="4"/>
      <c r="N372" s="1451"/>
      <c r="O372" s="1451"/>
      <c r="P372" s="1451"/>
      <c r="Q372" s="1451"/>
      <c r="R372" s="4"/>
      <c r="V372" s="4"/>
      <c r="W372" s="4"/>
      <c r="X372" s="4"/>
      <c r="Y372" s="4"/>
      <c r="Z372" s="4"/>
      <c r="AA372" s="4"/>
      <c r="AB372" s="4"/>
    </row>
    <row r="373" spans="1:34" ht="12.95" customHeight="1">
      <c r="E373" s="4" t="s">
        <v>2</v>
      </c>
      <c r="F373" s="4"/>
      <c r="G373" s="4"/>
      <c r="H373" s="4"/>
      <c r="I373" s="4"/>
      <c r="J373" s="4"/>
      <c r="K373" s="4"/>
      <c r="L373" s="4"/>
      <c r="N373" s="1475"/>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2.95"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77"/>
      <c r="T377" s="1477"/>
      <c r="U377" s="1" t="s">
        <v>307</v>
      </c>
      <c r="V377" s="1477"/>
      <c r="W377" s="1477"/>
      <c r="Y377" t="s">
        <v>2393</v>
      </c>
      <c r="AC377" s="27" t="s">
        <v>306</v>
      </c>
      <c r="AD377" s="1477"/>
      <c r="AE377" s="1477"/>
      <c r="AF377" s="1" t="s">
        <v>307</v>
      </c>
      <c r="AG377" s="1477"/>
      <c r="AH377" s="1477"/>
    </row>
    <row r="378" spans="1:34" ht="12.95" customHeight="1">
      <c r="E378" s="4" t="s">
        <v>1012</v>
      </c>
      <c r="F378" s="4"/>
      <c r="G378" s="4"/>
      <c r="H378" s="4"/>
      <c r="I378" s="4"/>
      <c r="J378" s="4"/>
      <c r="K378" s="4"/>
      <c r="L378" s="4"/>
      <c r="N378" s="1477"/>
      <c r="O378" s="1477"/>
      <c r="P378" s="1477"/>
    </row>
    <row r="379" spans="1:34" ht="12.95" customHeight="1">
      <c r="E379" s="218" t="s">
        <v>2399</v>
      </c>
      <c r="F379" s="4"/>
      <c r="G379" s="4"/>
      <c r="H379" s="4"/>
      <c r="I379" s="4"/>
      <c r="J379" s="4"/>
      <c r="K379" s="4"/>
      <c r="L379" s="4"/>
      <c r="AG379" s="1532" t="s">
        <v>600</v>
      </c>
      <c r="AH379" s="1532"/>
    </row>
    <row r="380" spans="1:34" ht="12.95" customHeight="1">
      <c r="E380" s="4"/>
      <c r="F380" s="4"/>
      <c r="G380" s="4" t="s">
        <v>2400</v>
      </c>
      <c r="H380" s="4"/>
      <c r="I380" s="4"/>
      <c r="J380" s="4"/>
      <c r="K380" s="4"/>
      <c r="L380" s="4"/>
      <c r="AG380" s="1532" t="s">
        <v>600</v>
      </c>
      <c r="AH380" s="1532"/>
    </row>
    <row r="381" spans="1:34" ht="12.95" customHeight="1">
      <c r="E381" s="4"/>
      <c r="F381" s="4"/>
      <c r="G381" s="348" t="s">
        <v>1013</v>
      </c>
      <c r="H381" s="4"/>
      <c r="I381" s="4"/>
      <c r="J381" s="4"/>
      <c r="K381" s="4"/>
      <c r="L381" s="4"/>
      <c r="V381" s="1380" t="s">
        <v>600</v>
      </c>
      <c r="W381" s="1380"/>
      <c r="Y381" s="22" t="s">
        <v>1000</v>
      </c>
    </row>
    <row r="382" spans="1:34" ht="12.95" customHeight="1">
      <c r="E382" s="4" t="s">
        <v>1001</v>
      </c>
      <c r="F382" s="4"/>
      <c r="G382" s="4"/>
      <c r="H382" s="4"/>
      <c r="I382" s="4"/>
      <c r="J382" s="4"/>
      <c r="K382" s="4"/>
      <c r="L382" s="4"/>
      <c r="V382" s="1380" t="s">
        <v>600</v>
      </c>
      <c r="W382" s="1380"/>
      <c r="Y382" s="4" t="s">
        <v>1002</v>
      </c>
    </row>
    <row r="383" spans="1:34" ht="12.95" customHeight="1"/>
    <row r="384" spans="1:34" ht="12.95" customHeight="1">
      <c r="A384" s="2" t="s">
        <v>78</v>
      </c>
      <c r="B384" s="2"/>
    </row>
    <row r="385" spans="4:36" ht="12.95" customHeight="1">
      <c r="D385" t="s">
        <v>429</v>
      </c>
      <c r="J385" s="1384" t="s">
        <v>2719</v>
      </c>
      <c r="K385" s="1384"/>
      <c r="L385" s="1384"/>
      <c r="M385" s="1384"/>
      <c r="N385" s="1384"/>
      <c r="O385" s="1384"/>
      <c r="P385" s="1384"/>
      <c r="Q385" s="1384"/>
      <c r="R385" s="1384"/>
      <c r="S385" s="1384"/>
      <c r="T385" s="1384"/>
      <c r="U385" s="1384"/>
      <c r="V385" s="8" t="s">
        <v>83</v>
      </c>
      <c r="W385" s="8"/>
      <c r="X385" s="8"/>
      <c r="Y385" s="8"/>
      <c r="Z385" s="8"/>
      <c r="AA385" s="8"/>
      <c r="AB385" s="8"/>
      <c r="AC385" s="1384" t="s">
        <v>2650</v>
      </c>
      <c r="AD385" s="1384"/>
      <c r="AE385" s="1384"/>
      <c r="AF385" s="1384"/>
      <c r="AG385" s="1384"/>
      <c r="AH385" s="1384"/>
      <c r="AI385" s="1384"/>
      <c r="AJ385" s="1384"/>
    </row>
    <row r="386" spans="4:36" ht="12.95" customHeight="1">
      <c r="D386" s="3" t="s">
        <v>1289</v>
      </c>
      <c r="J386" s="1454" t="s">
        <v>2650</v>
      </c>
      <c r="K386" s="1454"/>
      <c r="L386" s="1454"/>
      <c r="M386" s="1454"/>
      <c r="N386" s="1454"/>
      <c r="O386" s="1454"/>
      <c r="P386" s="1454"/>
      <c r="Q386" s="1454"/>
      <c r="R386" s="1454"/>
      <c r="S386" s="1454"/>
      <c r="T386" s="1454"/>
      <c r="U386" s="1454"/>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54" t="s">
        <v>2720</v>
      </c>
      <c r="K387" s="1454"/>
      <c r="L387" s="1454"/>
      <c r="M387" s="1454"/>
      <c r="N387" s="1454"/>
      <c r="O387" s="1454"/>
      <c r="P387" s="1454"/>
      <c r="Q387" s="1454"/>
      <c r="R387" s="1454"/>
      <c r="S387" s="1454"/>
      <c r="T387" s="1454"/>
      <c r="U387" s="1454"/>
      <c r="V387" s="3" t="s">
        <v>444</v>
      </c>
      <c r="W387" s="8"/>
      <c r="X387" s="8"/>
      <c r="Y387" s="8"/>
      <c r="Z387" s="8"/>
      <c r="AA387" s="8"/>
      <c r="AB387" s="8"/>
      <c r="AC387" s="1384"/>
      <c r="AD387" s="1384"/>
      <c r="AE387" s="1384"/>
      <c r="AF387" s="1384"/>
      <c r="AG387" s="1384"/>
      <c r="AH387" s="1384"/>
      <c r="AI387" s="1384"/>
      <c r="AJ387" s="1384"/>
    </row>
    <row r="388" spans="4:36" ht="12.95" customHeight="1">
      <c r="D388" t="s">
        <v>1285</v>
      </c>
      <c r="J388" s="1400" t="s">
        <v>2721</v>
      </c>
      <c r="K388" s="1400"/>
      <c r="L388" s="1400"/>
      <c r="M388" s="1400"/>
      <c r="N388" s="1400"/>
      <c r="O388" s="1400"/>
      <c r="P388" s="1400"/>
      <c r="Q388" s="1400"/>
      <c r="R388" s="1400"/>
      <c r="S388" s="1400"/>
      <c r="T388" s="1400"/>
      <c r="U388" s="1400"/>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731"/>
      <c r="R389" s="1731"/>
      <c r="S389" s="1731"/>
      <c r="T389" s="1731"/>
      <c r="U389" s="1731"/>
      <c r="V389" t="s">
        <v>310</v>
      </c>
      <c r="AI389" s="1380" t="s">
        <v>554</v>
      </c>
      <c r="AJ389" s="1380"/>
    </row>
    <row r="390" spans="4:36" ht="12.95" customHeight="1">
      <c r="D390" t="s">
        <v>5</v>
      </c>
      <c r="Q390" s="1619"/>
      <c r="R390" s="1728"/>
      <c r="S390" s="1728"/>
      <c r="T390" s="1728"/>
      <c r="U390" s="1728"/>
      <c r="W390" s="21" t="s">
        <v>74</v>
      </c>
      <c r="AG390" s="1474"/>
      <c r="AH390" s="1474"/>
      <c r="AI390" s="1474"/>
      <c r="AJ390" s="1474"/>
    </row>
    <row r="391" spans="4:36" ht="12.95" customHeight="1">
      <c r="D391" t="s">
        <v>428</v>
      </c>
      <c r="Q391" s="1727">
        <f>'Sources and Uses Budget'!C4</f>
        <v>3440000</v>
      </c>
      <c r="R391" s="1727"/>
      <c r="S391" s="1727"/>
      <c r="T391" s="1727"/>
      <c r="U391" s="1727"/>
      <c r="V391" s="3" t="s">
        <v>1288</v>
      </c>
      <c r="AG391" s="1530">
        <v>45689</v>
      </c>
      <c r="AH391" s="1530"/>
      <c r="AI391" s="1530"/>
      <c r="AJ391" s="1530"/>
    </row>
    <row r="392" spans="4:36" ht="12.95" customHeight="1">
      <c r="D392" t="s">
        <v>88</v>
      </c>
      <c r="I392" s="1523" t="s">
        <v>2651</v>
      </c>
      <c r="J392" s="1523"/>
      <c r="K392" s="1523"/>
      <c r="L392" s="1523"/>
      <c r="M392" s="1523"/>
      <c r="N392" s="1523"/>
      <c r="Q392" s="4" t="s">
        <v>207</v>
      </c>
      <c r="S392" s="1730"/>
      <c r="T392" s="1730"/>
      <c r="U392" s="1730"/>
      <c r="V392" t="s">
        <v>73</v>
      </c>
      <c r="AI392" s="1380" t="s">
        <v>678</v>
      </c>
      <c r="AJ392" s="1380"/>
    </row>
    <row r="393" spans="4:36" ht="12.95" customHeight="1">
      <c r="D393" t="s">
        <v>311</v>
      </c>
      <c r="Q393" s="1531"/>
      <c r="R393" s="1531"/>
      <c r="S393" s="1531"/>
      <c r="T393" s="1531"/>
      <c r="U393" s="1531"/>
      <c r="V393" t="s">
        <v>312</v>
      </c>
      <c r="AG393" s="1474"/>
      <c r="AH393" s="1474"/>
      <c r="AI393" s="1474"/>
      <c r="AJ393" s="1474"/>
    </row>
    <row r="394" spans="4:36" ht="12.95" customHeight="1">
      <c r="D394" t="s">
        <v>313</v>
      </c>
      <c r="Q394" s="1575">
        <v>0.01</v>
      </c>
      <c r="R394" s="1575"/>
      <c r="S394" s="1575"/>
      <c r="T394" s="1575"/>
      <c r="U394" s="1575"/>
      <c r="V394" t="s">
        <v>1269</v>
      </c>
      <c r="AG394" s="1474"/>
      <c r="AH394" s="1474"/>
      <c r="AI394" s="1474"/>
      <c r="AJ394" s="1474"/>
    </row>
    <row r="395" spans="4:36" ht="12.95" customHeight="1">
      <c r="D395" t="s">
        <v>1268</v>
      </c>
      <c r="AG395" s="1474"/>
      <c r="AH395" s="1474"/>
      <c r="AI395" s="1474"/>
      <c r="AJ395" s="1474"/>
    </row>
    <row r="396" spans="4:36" ht="12.95" customHeight="1">
      <c r="AG396" s="490"/>
      <c r="AH396" s="490"/>
      <c r="AI396" s="490"/>
      <c r="AJ396" s="490"/>
    </row>
    <row r="397" spans="4:36" ht="12.95" customHeight="1">
      <c r="D397" s="3" t="s">
        <v>2499</v>
      </c>
      <c r="AG397" s="490"/>
      <c r="AH397" s="490"/>
      <c r="AI397" s="1380" t="s">
        <v>678</v>
      </c>
      <c r="AJ397" s="1380"/>
    </row>
    <row r="398" spans="4:36" ht="12.95" customHeight="1">
      <c r="D398" s="3" t="s">
        <v>1782</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1781</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90"/>
      <c r="AH400" s="490"/>
      <c r="AI400" s="490"/>
      <c r="AJ400" s="490"/>
    </row>
    <row r="401" spans="1:36" ht="12.95" customHeight="1">
      <c r="D401" s="3" t="s">
        <v>1775</v>
      </c>
      <c r="S401" s="1434" t="s">
        <v>678</v>
      </c>
      <c r="T401" s="1434"/>
      <c r="U401" s="1434"/>
      <c r="V401" t="s">
        <v>1776</v>
      </c>
      <c r="AG401" s="1483"/>
      <c r="AH401" s="1483"/>
      <c r="AI401" s="1483"/>
      <c r="AJ401" s="1483"/>
    </row>
    <row r="402" spans="1:36" ht="12.95" customHeight="1">
      <c r="D402" s="3" t="s">
        <v>1773</v>
      </c>
      <c r="S402" s="1434" t="s">
        <v>600</v>
      </c>
      <c r="T402" s="1434"/>
      <c r="U402" s="1434"/>
      <c r="V402" t="s">
        <v>1778</v>
      </c>
      <c r="AE402" s="1487"/>
      <c r="AF402" s="1487"/>
      <c r="AG402" s="1487"/>
      <c r="AH402" s="1487"/>
      <c r="AI402" s="1487"/>
      <c r="AJ402" s="1487"/>
    </row>
    <row r="403" spans="1:36" ht="12.95" customHeight="1">
      <c r="D403" s="3" t="s">
        <v>1774</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2.95" customHeight="1">
      <c r="D404" s="3" t="s">
        <v>1777</v>
      </c>
      <c r="K404" s="1482"/>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2.95" customHeight="1">
      <c r="D405" s="3" t="s">
        <v>1780</v>
      </c>
      <c r="E405" s="511"/>
      <c r="F405" s="511"/>
      <c r="G405" s="511"/>
      <c r="H405" s="511"/>
      <c r="I405" s="511"/>
      <c r="J405" s="511"/>
      <c r="K405" s="511"/>
      <c r="L405" s="511"/>
      <c r="M405" s="511"/>
      <c r="N405" s="511"/>
      <c r="O405" s="511"/>
      <c r="P405" s="511"/>
      <c r="Q405" s="511"/>
      <c r="R405" s="511"/>
      <c r="S405" s="1513" t="s">
        <v>1291</v>
      </c>
      <c r="T405" s="1513"/>
      <c r="U405" s="1513"/>
      <c r="V405" s="1513"/>
      <c r="W405" s="1513"/>
      <c r="X405" s="1513"/>
      <c r="Y405" s="1513"/>
      <c r="Z405" s="1513"/>
      <c r="AA405" s="1513"/>
      <c r="AB405" s="1513"/>
      <c r="AC405" s="1513"/>
      <c r="AD405" s="1513"/>
      <c r="AE405" s="1513"/>
      <c r="AF405" s="1513"/>
      <c r="AG405" s="1513"/>
      <c r="AH405" s="1513"/>
      <c r="AI405" s="1513"/>
      <c r="AJ405" s="151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772" t="s">
        <v>2722</v>
      </c>
      <c r="J410" s="1772"/>
      <c r="K410" s="1772"/>
      <c r="L410" s="1772"/>
      <c r="M410" s="1772"/>
      <c r="N410" s="1772"/>
      <c r="O410" s="1772"/>
      <c r="P410" s="1772"/>
      <c r="Q410" s="1772"/>
      <c r="R410" s="1772"/>
      <c r="S410" s="1772"/>
      <c r="T410" s="1772"/>
      <c r="U410" s="1772"/>
      <c r="V410" s="1772"/>
      <c r="W410" s="1772"/>
      <c r="X410" s="1772"/>
      <c r="Y410" s="1772"/>
      <c r="Z410" s="1772"/>
      <c r="AA410" s="1772"/>
      <c r="AB410" s="1772"/>
      <c r="AC410" s="1772"/>
      <c r="AD410" s="1772"/>
      <c r="AE410" s="1772"/>
    </row>
    <row r="411" spans="1:36" ht="12.95" customHeight="1">
      <c r="E411" t="s">
        <v>106</v>
      </c>
      <c r="R411" s="1380" t="s">
        <v>600</v>
      </c>
      <c r="S411" s="1380"/>
      <c r="AC411" s="27" t="s">
        <v>579</v>
      </c>
      <c r="AD411" s="1451"/>
      <c r="AE411" s="1451"/>
    </row>
    <row r="412" spans="1:36" ht="12.95" customHeight="1">
      <c r="E412" t="s">
        <v>107</v>
      </c>
      <c r="R412" s="1380" t="s">
        <v>600</v>
      </c>
      <c r="S412" s="1380"/>
      <c r="AC412" s="27" t="s">
        <v>579</v>
      </c>
      <c r="AD412" s="1451"/>
      <c r="AE412" s="1451"/>
    </row>
    <row r="413" spans="1:36" ht="12.95" customHeight="1">
      <c r="E413" t="s">
        <v>108</v>
      </c>
      <c r="S413" s="1380" t="s">
        <v>600</v>
      </c>
      <c r="T413" s="1380"/>
    </row>
    <row r="414" spans="1:36" ht="12.95" customHeight="1">
      <c r="E414" t="s">
        <v>170</v>
      </c>
      <c r="H414" s="1773" t="s">
        <v>335</v>
      </c>
      <c r="I414" s="1773"/>
      <c r="J414" s="1773"/>
      <c r="K414" s="1773"/>
      <c r="L414" s="1773"/>
      <c r="M414" s="1773"/>
      <c r="N414" s="1773"/>
      <c r="O414" s="1773"/>
      <c r="P414" s="1773"/>
      <c r="Q414" s="1773"/>
      <c r="R414" s="1773"/>
      <c r="S414" s="1773"/>
      <c r="T414" s="1773"/>
      <c r="U414" s="1773"/>
      <c r="V414" s="1773"/>
      <c r="W414" s="1773"/>
      <c r="X414" s="1773"/>
      <c r="Y414" s="1773"/>
      <c r="Z414" s="1773"/>
      <c r="AA414" s="1773"/>
      <c r="AB414" s="1773"/>
      <c r="AC414" s="1773"/>
      <c r="AD414" s="1773"/>
      <c r="AE414" s="1773"/>
    </row>
    <row r="415" spans="1:36" ht="12.95" customHeight="1">
      <c r="H415" s="1774"/>
      <c r="I415" s="1774"/>
      <c r="J415" s="1774"/>
      <c r="K415" s="1774"/>
      <c r="L415" s="1774"/>
      <c r="M415" s="1774"/>
      <c r="N415" s="1774"/>
      <c r="O415" s="1774"/>
      <c r="P415" s="1774"/>
      <c r="Q415" s="1774"/>
      <c r="R415" s="1774"/>
      <c r="S415" s="1774"/>
      <c r="T415" s="1774"/>
      <c r="U415" s="1774"/>
      <c r="V415" s="1774"/>
      <c r="W415" s="1774"/>
      <c r="X415" s="1774"/>
      <c r="Y415" s="1774"/>
      <c r="Z415" s="1774"/>
      <c r="AA415" s="1774"/>
      <c r="AB415" s="1774"/>
      <c r="AC415" s="1774"/>
      <c r="AD415" s="1774"/>
      <c r="AE415" s="1774"/>
    </row>
    <row r="416" spans="1:36" ht="12.95" customHeight="1"/>
    <row r="417" spans="1:39" ht="12.95" customHeight="1">
      <c r="A417" s="2" t="s">
        <v>599</v>
      </c>
      <c r="B417" s="2"/>
      <c r="C417" s="2"/>
      <c r="D417" s="2" t="s">
        <v>114</v>
      </c>
      <c r="AF417" s="2" t="s">
        <v>977</v>
      </c>
    </row>
    <row r="418" spans="1:39" ht="12.95" customHeight="1">
      <c r="E418" s="1477"/>
      <c r="F418" s="1477"/>
      <c r="G418" s="1477"/>
      <c r="H418" s="13" t="s">
        <v>115</v>
      </c>
      <c r="I418" s="1477"/>
      <c r="J418" s="1477"/>
      <c r="K418" s="1477"/>
      <c r="L418" t="s">
        <v>116</v>
      </c>
      <c r="N418" s="27" t="s">
        <v>584</v>
      </c>
      <c r="P418" s="1729">
        <v>18.739999999999998</v>
      </c>
      <c r="Q418" s="1729"/>
      <c r="R418" s="1729"/>
      <c r="S418" t="s">
        <v>117</v>
      </c>
      <c r="W418" s="1441">
        <f>IF(E418&gt;0,(E418*I418),(P418*43560))</f>
        <v>816314.39999999991</v>
      </c>
      <c r="X418" s="1441"/>
      <c r="Y418" s="1441"/>
      <c r="Z418" t="s">
        <v>118</v>
      </c>
      <c r="AF418" s="1726">
        <f>IFERROR(IF(P418&gt;0,(AG437/P418),(AG437/(W418/43560))),0)</f>
        <v>10.192102454642477</v>
      </c>
      <c r="AG418" s="1726"/>
      <c r="AH418" s="1726"/>
      <c r="AM418" s="3"/>
    </row>
    <row r="419" spans="1:39" ht="12.95" customHeight="1">
      <c r="E419" t="s">
        <v>51</v>
      </c>
    </row>
    <row r="420" spans="1:39" ht="12.95"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2.95" customHeight="1">
      <c r="E421" s="118" t="s">
        <v>1927</v>
      </c>
      <c r="F421" s="1048"/>
      <c r="G421" s="1048"/>
      <c r="H421" s="1048"/>
      <c r="I421" s="1573">
        <v>18.739999999999998</v>
      </c>
      <c r="J421" s="1573"/>
      <c r="K421" s="1573"/>
      <c r="L421" s="1048"/>
      <c r="M421" s="118"/>
      <c r="N421" s="1048"/>
      <c r="O421" s="1048"/>
      <c r="P421" s="1770">
        <f>(CS634+CS642+CS658)/I421</f>
        <v>22.358591248665956</v>
      </c>
      <c r="Q421" s="1770"/>
      <c r="R421" s="1770"/>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192</v>
      </c>
      <c r="Q424" s="1380"/>
      <c r="S424" t="s">
        <v>190</v>
      </c>
      <c r="AE424" s="1380">
        <v>191</v>
      </c>
      <c r="AF424" s="1380"/>
    </row>
    <row r="425" spans="1:39" ht="12.95" customHeight="1">
      <c r="E425" t="s">
        <v>191</v>
      </c>
      <c r="P425" s="1380">
        <v>1</v>
      </c>
      <c r="Q425" s="1380"/>
      <c r="S425" t="s">
        <v>131</v>
      </c>
      <c r="AE425" s="1380" t="s">
        <v>600</v>
      </c>
      <c r="AF425" s="1380"/>
    </row>
    <row r="426" spans="1:39" ht="12.95" customHeight="1">
      <c r="F426" s="28" t="s">
        <v>132</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617</v>
      </c>
      <c r="P429" s="1"/>
      <c r="Q429" s="1380" t="s">
        <v>554</v>
      </c>
      <c r="R429" s="1380"/>
    </row>
    <row r="430" spans="1:39" ht="12.95" customHeight="1">
      <c r="F430" t="s">
        <v>618</v>
      </c>
      <c r="P430" s="1"/>
      <c r="Q430" s="1"/>
      <c r="AF430" s="1380" t="s">
        <v>600</v>
      </c>
      <c r="AG430" s="1452"/>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80"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9"/>
      <c r="AG437" s="1456">
        <v>191</v>
      </c>
      <c r="AH437" s="1456"/>
      <c r="AI437" s="1456"/>
      <c r="AJ437" s="1456"/>
    </row>
    <row r="438" spans="1:110" ht="12.95" customHeight="1">
      <c r="D438" s="1445" t="s">
        <v>1330</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7"/>
      <c r="AG438" s="1484">
        <v>0</v>
      </c>
      <c r="AH438" s="1485"/>
      <c r="AI438" s="1485"/>
      <c r="AJ438" s="1485"/>
    </row>
    <row r="439" spans="1:110" ht="12.95" customHeight="1">
      <c r="D439" s="1445" t="s">
        <v>1056</v>
      </c>
      <c r="E439" s="1446"/>
      <c r="F439" s="1446"/>
      <c r="G439" s="1446"/>
      <c r="H439" s="1446"/>
      <c r="I439" s="1446"/>
      <c r="J439" s="1446"/>
      <c r="K439" s="1446"/>
      <c r="L439" s="1446"/>
      <c r="M439" s="1446"/>
      <c r="N439" s="1446"/>
      <c r="O439" s="1446"/>
      <c r="P439" s="1446"/>
      <c r="Q439" s="1446"/>
      <c r="R439" s="1446"/>
      <c r="S439" s="1446"/>
      <c r="T439" s="1446"/>
      <c r="U439" s="1446"/>
      <c r="V439" s="1446"/>
      <c r="W439" s="1446"/>
      <c r="X439" s="1446"/>
      <c r="Y439" s="1446"/>
      <c r="Z439" s="1446"/>
      <c r="AA439" s="1446"/>
      <c r="AB439" s="1446"/>
      <c r="AC439" s="1446"/>
      <c r="AD439" s="1446"/>
      <c r="AE439" s="1446"/>
      <c r="AF439" s="1447"/>
      <c r="AG439" s="1456">
        <v>189</v>
      </c>
      <c r="AH439" s="1456"/>
      <c r="AI439" s="1456"/>
      <c r="AJ439" s="1456"/>
    </row>
    <row r="440" spans="1:110" ht="12.95" customHeight="1">
      <c r="D440" s="1445" t="s">
        <v>1057</v>
      </c>
      <c r="E440" s="1446"/>
      <c r="F440" s="1446"/>
      <c r="G440" s="1446"/>
      <c r="H440" s="1446"/>
      <c r="I440" s="1446"/>
      <c r="J440" s="1446"/>
      <c r="K440" s="1446"/>
      <c r="L440" s="1446"/>
      <c r="M440" s="1446"/>
      <c r="N440" s="1446"/>
      <c r="O440" s="1446"/>
      <c r="P440" s="1446"/>
      <c r="Q440" s="1446"/>
      <c r="R440" s="1446"/>
      <c r="S440" s="1446"/>
      <c r="T440" s="1446"/>
      <c r="U440" s="1446"/>
      <c r="V440" s="1446"/>
      <c r="W440" s="1446"/>
      <c r="X440" s="1446"/>
      <c r="Y440" s="1446"/>
      <c r="Z440" s="1446"/>
      <c r="AA440" s="1446"/>
      <c r="AB440" s="1446"/>
      <c r="AC440" s="1446"/>
      <c r="AD440" s="1446"/>
      <c r="AE440" s="1446"/>
      <c r="AF440" s="1447"/>
      <c r="AG440" s="1456">
        <v>189</v>
      </c>
      <c r="AH440" s="1456"/>
      <c r="AI440" s="1456"/>
      <c r="AJ440" s="1456"/>
    </row>
    <row r="441" spans="1:110" ht="12.95" customHeight="1">
      <c r="D441" s="1445" t="s">
        <v>1059</v>
      </c>
      <c r="E441" s="1446"/>
      <c r="F441" s="1446"/>
      <c r="G441" s="1446"/>
      <c r="H441" s="1446"/>
      <c r="I441" s="1446"/>
      <c r="J441" s="1446"/>
      <c r="K441" s="1446"/>
      <c r="L441" s="1446"/>
      <c r="M441" s="1446"/>
      <c r="N441" s="1446"/>
      <c r="O441" s="1446"/>
      <c r="P441" s="1446"/>
      <c r="Q441" s="1446"/>
      <c r="R441" s="1446"/>
      <c r="S441" s="1446"/>
      <c r="T441" s="1446"/>
      <c r="U441" s="1446"/>
      <c r="V441" s="1446"/>
      <c r="W441" s="1446"/>
      <c r="X441" s="1446"/>
      <c r="Y441" s="1446"/>
      <c r="Z441" s="1446"/>
      <c r="AA441" s="1446"/>
      <c r="AB441" s="1446"/>
      <c r="AC441" s="1446"/>
      <c r="AD441" s="1446"/>
      <c r="AE441" s="1446"/>
      <c r="AF441" s="1447"/>
      <c r="AG441" s="1460">
        <f>IF(ISERROR(AG440/AG439),"",AG440/AG439)</f>
        <v>1</v>
      </c>
      <c r="AH441" s="1460"/>
      <c r="AI441" s="1460"/>
      <c r="AJ441" s="1460"/>
    </row>
    <row r="442" spans="1:110" ht="12.95" customHeight="1">
      <c r="D442" s="1445" t="s">
        <v>1058</v>
      </c>
      <c r="E442" s="1446"/>
      <c r="F442" s="1446"/>
      <c r="G442" s="1446"/>
      <c r="H442" s="1446"/>
      <c r="I442" s="1446"/>
      <c r="J442" s="1446"/>
      <c r="K442" s="1446"/>
      <c r="L442" s="1446"/>
      <c r="M442" s="1446"/>
      <c r="N442" s="1446"/>
      <c r="O442" s="1446"/>
      <c r="P442" s="1446"/>
      <c r="Q442" s="1446"/>
      <c r="R442" s="1446"/>
      <c r="S442" s="1446"/>
      <c r="T442" s="1446"/>
      <c r="U442" s="1446"/>
      <c r="V442" s="1446"/>
      <c r="W442" s="1446"/>
      <c r="X442" s="1446"/>
      <c r="Y442" s="1446"/>
      <c r="Z442" s="1446"/>
      <c r="AA442" s="1446"/>
      <c r="AB442" s="1446"/>
      <c r="AC442" s="1446"/>
      <c r="AD442" s="1446"/>
      <c r="AE442" s="1446"/>
      <c r="AF442" s="1447"/>
      <c r="AG442" s="1405">
        <v>176640</v>
      </c>
      <c r="AH442" s="1405"/>
      <c r="AI442" s="1405"/>
      <c r="AJ442" s="1405"/>
    </row>
    <row r="443" spans="1:110" ht="12.95" customHeight="1">
      <c r="D443" s="1445" t="s">
        <v>1060</v>
      </c>
      <c r="E443" s="1446"/>
      <c r="F443" s="1446"/>
      <c r="G443" s="1446"/>
      <c r="H443" s="1446"/>
      <c r="I443" s="1446"/>
      <c r="J443" s="1446"/>
      <c r="K443" s="1446"/>
      <c r="L443" s="1446"/>
      <c r="M443" s="1446"/>
      <c r="N443" s="1446"/>
      <c r="O443" s="1446"/>
      <c r="P443" s="1446"/>
      <c r="Q443" s="1446"/>
      <c r="R443" s="1446"/>
      <c r="S443" s="1446"/>
      <c r="T443" s="1446"/>
      <c r="U443" s="1446"/>
      <c r="V443" s="1446"/>
      <c r="W443" s="1446"/>
      <c r="X443" s="1446"/>
      <c r="Y443" s="1446"/>
      <c r="Z443" s="1446"/>
      <c r="AA443" s="1446"/>
      <c r="AB443" s="1446"/>
      <c r="AC443" s="1446"/>
      <c r="AD443" s="1446"/>
      <c r="AE443" s="1446"/>
      <c r="AF443" s="1447"/>
      <c r="AG443" s="1405">
        <v>176640</v>
      </c>
      <c r="AH443" s="1405"/>
      <c r="AI443" s="1405"/>
      <c r="AJ443" s="1405"/>
    </row>
    <row r="444" spans="1:110" ht="12.95" customHeight="1">
      <c r="D444" s="1445" t="s">
        <v>1061</v>
      </c>
      <c r="E444" s="1446"/>
      <c r="F444" s="1446"/>
      <c r="G444" s="1446"/>
      <c r="H444" s="1446"/>
      <c r="I444" s="1446"/>
      <c r="J444" s="1446"/>
      <c r="K444" s="1446"/>
      <c r="L444" s="1446"/>
      <c r="M444" s="1446"/>
      <c r="N444" s="1446"/>
      <c r="O444" s="1446"/>
      <c r="P444" s="1446"/>
      <c r="Q444" s="1446"/>
      <c r="R444" s="1446"/>
      <c r="S444" s="1446"/>
      <c r="T444" s="1446"/>
      <c r="U444" s="1446"/>
      <c r="V444" s="1446"/>
      <c r="W444" s="1446"/>
      <c r="X444" s="1446"/>
      <c r="Y444" s="1446"/>
      <c r="Z444" s="1446"/>
      <c r="AA444" s="1446"/>
      <c r="AB444" s="1446"/>
      <c r="AC444" s="1446"/>
      <c r="AD444" s="1446"/>
      <c r="AE444" s="1446"/>
      <c r="AF444" s="1447"/>
      <c r="AG444" s="1460">
        <f>IF(ISERROR(AG443/AG442),"",AG443/AG442)</f>
        <v>1</v>
      </c>
      <c r="AH444" s="1460"/>
      <c r="AI444" s="1460"/>
      <c r="AJ444" s="1460"/>
    </row>
    <row r="445" spans="1:110" ht="12.95" customHeight="1">
      <c r="D445" s="1445" t="s">
        <v>1062</v>
      </c>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6"/>
      <c r="AB445" s="1446"/>
      <c r="AC445" s="1446"/>
      <c r="AD445" s="1446"/>
      <c r="AE445" s="1446"/>
      <c r="AF445" s="1447"/>
      <c r="AG445" s="1460">
        <f>MIN(IF(AG441&gt;AG444,AG444,AG441),1)</f>
        <v>1</v>
      </c>
      <c r="AH445" s="1460"/>
      <c r="AI445" s="1460"/>
      <c r="AJ445" s="1460"/>
    </row>
    <row r="446" spans="1:110" ht="12.95" customHeight="1">
      <c r="D446" s="1445" t="s">
        <v>2401</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9"/>
      <c r="AG446" s="1405">
        <v>2000</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0" t="s">
        <v>578</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05">
        <v>0</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5" t="s">
        <v>1312</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05">
        <v>3498</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5" t="s">
        <v>1063</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05">
        <v>0</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57">
        <f>AG442+AG446+AG448+AG449</f>
        <v>182138</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1313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369026.65445026179</v>
      </c>
      <c r="AD454" s="1397"/>
      <c r="AE454" s="1397"/>
      <c r="AF454" s="1397"/>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369026.65445026179</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325982.55497382197</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8" t="str">
        <f>IFERROR(IF(AC454&gt;650000,"Please provide a justification of cost per unit in Tab 12 for all projects with per unit costs of greater than $650,000.",""),"")</f>
        <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9" t="s">
        <v>2415</v>
      </c>
      <c r="E465" s="1410"/>
      <c r="F465" s="1410"/>
      <c r="G465" s="1410"/>
      <c r="H465" s="1410"/>
      <c r="I465" s="1410"/>
      <c r="J465" s="1410"/>
      <c r="K465" s="1410"/>
      <c r="L465" s="1410"/>
      <c r="M465" s="1410"/>
      <c r="N465" s="1410"/>
      <c r="O465" s="1410"/>
      <c r="P465" s="1410"/>
      <c r="Q465" s="1410"/>
      <c r="R465" s="1410"/>
      <c r="S465" s="1410"/>
      <c r="T465" s="1410"/>
      <c r="U465" s="1410"/>
      <c r="V465" s="1411"/>
      <c r="W465" s="1430">
        <v>0</v>
      </c>
      <c r="X465" s="1431"/>
      <c r="Y465" s="14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9" t="s">
        <v>703</v>
      </c>
      <c r="E466" s="1410"/>
      <c r="F466" s="1410"/>
      <c r="G466" s="1410"/>
      <c r="H466" s="1410"/>
      <c r="I466" s="1410"/>
      <c r="J466" s="1410"/>
      <c r="K466" s="1410"/>
      <c r="L466" s="1410"/>
      <c r="M466" s="1410"/>
      <c r="N466" s="1410"/>
      <c r="O466" s="1410"/>
      <c r="P466" s="1410"/>
      <c r="Q466" s="1410"/>
      <c r="R466" s="1410"/>
      <c r="S466" s="1410"/>
      <c r="T466" s="1410"/>
      <c r="U466" s="1410"/>
      <c r="V466" s="1411"/>
      <c r="W466" s="1430">
        <v>0</v>
      </c>
      <c r="X466" s="1431"/>
      <c r="Y466" s="14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9" t="s">
        <v>704</v>
      </c>
      <c r="E467" s="1410"/>
      <c r="F467" s="1410"/>
      <c r="G467" s="1410"/>
      <c r="H467" s="1410"/>
      <c r="I467" s="1410"/>
      <c r="J467" s="1410"/>
      <c r="K467" s="1410"/>
      <c r="L467" s="1410"/>
      <c r="M467" s="1410"/>
      <c r="N467" s="1410"/>
      <c r="O467" s="1410"/>
      <c r="P467" s="1410"/>
      <c r="Q467" s="1410"/>
      <c r="R467" s="1410"/>
      <c r="S467" s="1410"/>
      <c r="T467" s="1410"/>
      <c r="U467" s="1410"/>
      <c r="V467" s="1411"/>
      <c r="W467" s="1430">
        <v>0</v>
      </c>
      <c r="X467" s="1431"/>
      <c r="Y467" s="14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9" t="s">
        <v>705</v>
      </c>
      <c r="E468" s="1410"/>
      <c r="F468" s="1410"/>
      <c r="G468" s="1410"/>
      <c r="H468" s="1410"/>
      <c r="I468" s="1410"/>
      <c r="J468" s="1410"/>
      <c r="K468" s="1410"/>
      <c r="L468" s="1410"/>
      <c r="M468" s="1410"/>
      <c r="N468" s="1410"/>
      <c r="O468" s="1410"/>
      <c r="P468" s="1410"/>
      <c r="Q468" s="1410"/>
      <c r="R468" s="1410"/>
      <c r="S468" s="1410"/>
      <c r="T468" s="1410"/>
      <c r="U468" s="1410"/>
      <c r="V468" s="1411"/>
      <c r="W468" s="1430">
        <v>0</v>
      </c>
      <c r="X468" s="1431"/>
      <c r="Y468" s="14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9" t="s">
        <v>894</v>
      </c>
      <c r="E469" s="1410"/>
      <c r="F469" s="1410"/>
      <c r="G469" s="1410"/>
      <c r="H469" s="1410"/>
      <c r="I469" s="1410"/>
      <c r="J469" s="1410"/>
      <c r="K469" s="1410"/>
      <c r="L469" s="1410"/>
      <c r="M469" s="1410"/>
      <c r="N469" s="1410"/>
      <c r="O469" s="1410"/>
      <c r="P469" s="1410"/>
      <c r="Q469" s="1410"/>
      <c r="R469" s="1410"/>
      <c r="S469" s="1410"/>
      <c r="T469" s="1410"/>
      <c r="U469" s="1410"/>
      <c r="V469" s="1411"/>
      <c r="W469" s="1430">
        <v>0</v>
      </c>
      <c r="X469" s="1431"/>
      <c r="Y469" s="143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9" t="s">
        <v>706</v>
      </c>
      <c r="E470" s="1410"/>
      <c r="F470" s="1410"/>
      <c r="G470" s="1410"/>
      <c r="H470" s="1410"/>
      <c r="I470" s="1410"/>
      <c r="J470" s="1410"/>
      <c r="K470" s="1410"/>
      <c r="L470" s="1410"/>
      <c r="M470" s="1410"/>
      <c r="N470" s="1410"/>
      <c r="O470" s="1410"/>
      <c r="P470" s="1410"/>
      <c r="Q470" s="1410"/>
      <c r="R470" s="1410"/>
      <c r="S470" s="1410"/>
      <c r="T470" s="1410"/>
      <c r="U470" s="1410"/>
      <c r="V470" s="1411"/>
      <c r="W470" s="1430">
        <v>0</v>
      </c>
      <c r="X470" s="1431"/>
      <c r="Y470" s="143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1037</v>
      </c>
      <c r="E471" s="1410"/>
      <c r="F471" s="1410"/>
      <c r="G471" s="1410"/>
      <c r="H471" s="1410"/>
      <c r="I471" s="1410"/>
      <c r="J471" s="1410"/>
      <c r="K471" s="1410"/>
      <c r="L471" s="1410"/>
      <c r="M471" s="1410"/>
      <c r="N471" s="1410"/>
      <c r="O471" s="1410"/>
      <c r="P471" s="1410"/>
      <c r="Q471" s="1410"/>
      <c r="R471" s="1410"/>
      <c r="S471" s="1410"/>
      <c r="T471" s="1410"/>
      <c r="U471" s="1410"/>
      <c r="V471" s="1411"/>
      <c r="W471" s="1430">
        <v>0</v>
      </c>
      <c r="X471" s="1431"/>
      <c r="Y471" s="14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9" t="s">
        <v>2552</v>
      </c>
      <c r="E472" s="1428"/>
      <c r="F472" s="1428"/>
      <c r="G472" s="1428"/>
      <c r="H472" s="1428"/>
      <c r="I472" s="1428"/>
      <c r="J472" s="1428"/>
      <c r="K472" s="1428"/>
      <c r="L472" s="1428"/>
      <c r="M472" s="1428"/>
      <c r="N472" s="1428"/>
      <c r="O472" s="1428"/>
      <c r="P472" s="1428"/>
      <c r="Q472" s="1428"/>
      <c r="R472" s="1428"/>
      <c r="S472" s="1428"/>
      <c r="T472" s="1428"/>
      <c r="U472" s="1428"/>
      <c r="V472" s="1429"/>
      <c r="W472" s="1430">
        <v>0</v>
      </c>
      <c r="X472" s="1431"/>
      <c r="Y472" s="14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9" t="s">
        <v>1768</v>
      </c>
      <c r="E473" s="1410"/>
      <c r="F473" s="1410"/>
      <c r="G473" s="1410"/>
      <c r="H473" s="1410"/>
      <c r="I473" s="1410"/>
      <c r="J473" s="1410"/>
      <c r="K473" s="1410"/>
      <c r="L473" s="1410"/>
      <c r="M473" s="1410"/>
      <c r="N473" s="1410"/>
      <c r="O473" s="1410"/>
      <c r="P473" s="1410"/>
      <c r="Q473" s="1410"/>
      <c r="R473" s="1410"/>
      <c r="S473" s="1410"/>
      <c r="T473" s="1410"/>
      <c r="U473" s="1410"/>
      <c r="V473" s="1411"/>
      <c r="W473" s="1430">
        <v>0</v>
      </c>
      <c r="X473" s="1431"/>
      <c r="Y473" s="14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7" t="s">
        <v>2723</v>
      </c>
      <c r="H474" s="1518"/>
      <c r="I474" s="1518"/>
      <c r="J474" s="1518"/>
      <c r="K474" s="1518"/>
      <c r="L474" s="1518"/>
      <c r="M474" s="1518"/>
      <c r="N474" s="1518"/>
      <c r="O474" s="1518"/>
      <c r="P474" s="1518"/>
      <c r="Q474" s="1518"/>
      <c r="R474" s="1518"/>
      <c r="S474" s="1518"/>
      <c r="T474" s="1518"/>
      <c r="U474" s="1518"/>
      <c r="V474" s="1519"/>
      <c r="W474" s="1430">
        <v>189</v>
      </c>
      <c r="X474" s="1431"/>
      <c r="Y474" s="14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4" t="s">
        <v>820</v>
      </c>
      <c r="B480" s="1654"/>
      <c r="C480" s="1654"/>
      <c r="D480" s="1654"/>
      <c r="E480" s="1654"/>
      <c r="F480" s="1654"/>
      <c r="G480" s="1654"/>
      <c r="H480" s="1654"/>
      <c r="I480" s="1654"/>
      <c r="J480" s="1654"/>
      <c r="K480" s="1654"/>
      <c r="L480" s="1654"/>
      <c r="M480" s="1654"/>
      <c r="N480" s="1654"/>
      <c r="O480" s="1654"/>
      <c r="P480" s="1654"/>
      <c r="Q480" s="1654"/>
      <c r="R480" s="1654"/>
      <c r="S480" s="1654"/>
      <c r="T480" s="1654"/>
      <c r="U480" s="1654"/>
      <c r="V480" s="1654"/>
      <c r="W480" s="1654"/>
      <c r="X480" s="1654"/>
      <c r="Y480" s="1654"/>
      <c r="Z480" s="1654"/>
      <c r="AA480" s="1654"/>
      <c r="AB480" s="1654"/>
      <c r="AC480" s="1654"/>
      <c r="AD480" s="1654"/>
      <c r="AE480" s="1654"/>
      <c r="AF480" s="1654"/>
      <c r="AG480" s="1654"/>
      <c r="AH480" s="1654"/>
      <c r="AI480" s="1654"/>
      <c r="AJ480" s="1654"/>
      <c r="AK480" s="1654"/>
      <c r="AL480" s="1654"/>
      <c r="AM480" s="1654"/>
      <c r="AN480" s="1654"/>
      <c r="AO480" s="1654"/>
      <c r="AP480" s="1654"/>
      <c r="AQ480" s="1654"/>
      <c r="AR480" s="1654"/>
      <c r="AS480" s="1654"/>
      <c r="AT480" s="16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4"/>
      <c r="B481" s="1654"/>
      <c r="C481" s="1654"/>
      <c r="D481" s="1654"/>
      <c r="E481" s="1654"/>
      <c r="F481" s="1654"/>
      <c r="G481" s="1654"/>
      <c r="H481" s="1654"/>
      <c r="I481" s="1654"/>
      <c r="J481" s="1654"/>
      <c r="K481" s="1654"/>
      <c r="L481" s="1654"/>
      <c r="M481" s="1654"/>
      <c r="N481" s="1654"/>
      <c r="O481" s="1654"/>
      <c r="P481" s="1654"/>
      <c r="Q481" s="1654"/>
      <c r="R481" s="1654"/>
      <c r="S481" s="1654"/>
      <c r="T481" s="1654"/>
      <c r="U481" s="1654"/>
      <c r="V481" s="1654"/>
      <c r="W481" s="1654"/>
      <c r="X481" s="1654"/>
      <c r="Y481" s="1654"/>
      <c r="Z481" s="1654"/>
      <c r="AA481" s="1654"/>
      <c r="AB481" s="1654"/>
      <c r="AC481" s="1654"/>
      <c r="AD481" s="1654"/>
      <c r="AE481" s="1654"/>
      <c r="AF481" s="1654"/>
      <c r="AG481" s="1654"/>
      <c r="AH481" s="1654"/>
      <c r="AI481" s="1654"/>
      <c r="AJ481" s="1654"/>
      <c r="AK481" s="1654"/>
      <c r="AL481" s="1654"/>
      <c r="AM481" s="1654"/>
      <c r="AN481" s="1654"/>
      <c r="AO481" s="1654"/>
      <c r="AP481" s="1654"/>
      <c r="AQ481" s="1654"/>
      <c r="AR481" s="1654"/>
      <c r="AS481" s="1654"/>
      <c r="AT481" s="16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4" t="s">
        <v>394</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1" t="s">
        <v>2724</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455"/>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1" t="s">
        <v>2725</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45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1" t="s">
        <v>2725</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1" t="s">
        <v>398</v>
      </c>
      <c r="C489" s="1462"/>
      <c r="D489" s="1462"/>
      <c r="E489" s="1462"/>
      <c r="F489" s="1462"/>
      <c r="G489" s="1462"/>
      <c r="H489" s="1462"/>
      <c r="I489" s="1462"/>
      <c r="J489" s="1462"/>
      <c r="K489" s="1462"/>
      <c r="L489" s="1462"/>
      <c r="M489" s="1462"/>
      <c r="N489" s="1462"/>
      <c r="O489" s="1462"/>
      <c r="P489" s="1463"/>
      <c r="Q489" s="1467" t="s">
        <v>678</v>
      </c>
      <c r="R489" s="1468"/>
      <c r="S489" s="1533" t="s">
        <v>166</v>
      </c>
      <c r="T489" s="1534"/>
      <c r="U489" s="1534"/>
      <c r="V489" s="1534"/>
      <c r="W489" s="1534"/>
      <c r="X489" s="1534"/>
      <c r="Y489" s="1534"/>
      <c r="Z489" s="1534"/>
      <c r="AA489" s="1534"/>
      <c r="AB489" s="1534"/>
      <c r="AC489" s="1534"/>
      <c r="AD489" s="1534"/>
      <c r="AE489" s="1534"/>
      <c r="AF489" s="1534"/>
      <c r="AG489" s="1534"/>
      <c r="AH489" s="1534"/>
      <c r="AI489" s="1534"/>
      <c r="AJ489" s="1534"/>
      <c r="AK489" s="15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4"/>
      <c r="C490" s="1465"/>
      <c r="D490" s="1465"/>
      <c r="E490" s="1465"/>
      <c r="F490" s="1465"/>
      <c r="G490" s="1465"/>
      <c r="H490" s="1465"/>
      <c r="I490" s="1465"/>
      <c r="J490" s="1465"/>
      <c r="K490" s="1465"/>
      <c r="L490" s="1465"/>
      <c r="M490" s="1465"/>
      <c r="N490" s="1465"/>
      <c r="O490" s="1465"/>
      <c r="P490" s="1466"/>
      <c r="Q490" s="1469"/>
      <c r="R490" s="1470"/>
      <c r="S490" s="1536"/>
      <c r="T490" s="1479"/>
      <c r="U490" s="1479"/>
      <c r="V490" s="1479"/>
      <c r="W490" s="1479"/>
      <c r="X490" s="1479"/>
      <c r="Y490" s="1479"/>
      <c r="Z490" s="1479"/>
      <c r="AA490" s="1479"/>
      <c r="AB490" s="1479"/>
      <c r="AC490" s="1479"/>
      <c r="AD490" s="1479"/>
      <c r="AE490" s="1479"/>
      <c r="AF490" s="1479"/>
      <c r="AG490" s="1479"/>
      <c r="AH490" s="1479"/>
      <c r="AI490" s="1479"/>
      <c r="AJ490" s="1479"/>
      <c r="AK490" s="15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02" t="s">
        <v>678</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1" t="s">
        <v>2726</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45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1" t="s">
        <v>2727</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45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3">
        <f>+M495+AH495</f>
        <v>191</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45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06">
        <v>128</v>
      </c>
      <c r="N495" s="1407"/>
      <c r="O495" s="1407"/>
      <c r="P495" s="1408"/>
      <c r="Q495" s="121" t="s">
        <v>1785</v>
      </c>
      <c r="R495" s="5"/>
      <c r="S495" s="5"/>
      <c r="T495" s="5"/>
      <c r="U495" s="5"/>
      <c r="V495" s="5"/>
      <c r="W495" s="5"/>
      <c r="X495" s="5"/>
      <c r="Y495" s="5"/>
      <c r="Z495" s="5"/>
      <c r="AA495" s="5"/>
      <c r="AB495" s="5"/>
      <c r="AC495" s="5"/>
      <c r="AD495" s="5"/>
      <c r="AE495" s="5"/>
      <c r="AF495" s="5"/>
      <c r="AG495" s="5"/>
      <c r="AH495" s="1406">
        <v>63</v>
      </c>
      <c r="AI495" s="1407"/>
      <c r="AJ495" s="1407"/>
      <c r="AK495" s="140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402</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403</v>
      </c>
      <c r="AD500" s="1515"/>
      <c r="AE500" s="1515"/>
      <c r="AF500" s="1515"/>
      <c r="AG500" s="50" t="s">
        <v>404</v>
      </c>
      <c r="AH500" s="1515" t="s">
        <v>405</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50">
        <v>2</v>
      </c>
      <c r="AD501" s="1451"/>
      <c r="AE501" s="1451"/>
      <c r="AF501" s="1451"/>
      <c r="AG501" s="13" t="s">
        <v>404</v>
      </c>
      <c r="AH501" s="1400">
        <v>2025</v>
      </c>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50">
        <v>2</v>
      </c>
      <c r="AD502" s="1451"/>
      <c r="AE502" s="1451"/>
      <c r="AF502" s="1451"/>
      <c r="AG502" s="38" t="s">
        <v>404</v>
      </c>
      <c r="AH502" s="1400">
        <v>2025</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50" t="s">
        <v>600</v>
      </c>
      <c r="AD503" s="1451"/>
      <c r="AE503" s="1451"/>
      <c r="AF503" s="1451"/>
      <c r="AG503" s="13" t="s">
        <v>404</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2"/>
      <c r="C504" s="1423"/>
      <c r="D504" s="1423"/>
      <c r="E504" s="1423"/>
      <c r="F504" s="1423"/>
      <c r="G504" s="1423"/>
      <c r="H504" s="1424"/>
      <c r="I504" t="s">
        <v>411</v>
      </c>
      <c r="AC504" s="1450" t="s">
        <v>600</v>
      </c>
      <c r="AD504" s="1451"/>
      <c r="AE504" s="1451"/>
      <c r="AF504" s="1451"/>
      <c r="AG504" s="13" t="s">
        <v>404</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2"/>
      <c r="C505" s="1423"/>
      <c r="D505" s="1423"/>
      <c r="E505" s="1423"/>
      <c r="F505" s="1423"/>
      <c r="G505" s="1423"/>
      <c r="H505" s="1424"/>
      <c r="I505" t="s">
        <v>412</v>
      </c>
      <c r="AC505" s="1450" t="s">
        <v>600</v>
      </c>
      <c r="AD505" s="1451"/>
      <c r="AE505" s="1451"/>
      <c r="AF505" s="1451"/>
      <c r="AG505" s="13" t="s">
        <v>404</v>
      </c>
      <c r="AH505" s="1400"/>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2"/>
      <c r="C506" s="1423"/>
      <c r="D506" s="1423"/>
      <c r="E506" s="1423"/>
      <c r="F506" s="1423"/>
      <c r="G506" s="1423"/>
      <c r="H506" s="1424"/>
      <c r="I506" t="s">
        <v>413</v>
      </c>
      <c r="AC506" s="1450">
        <v>3</v>
      </c>
      <c r="AD506" s="1451"/>
      <c r="AE506" s="1451"/>
      <c r="AF506" s="1451"/>
      <c r="AG506" s="13" t="s">
        <v>404</v>
      </c>
      <c r="AH506" s="1400">
        <v>2025</v>
      </c>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2"/>
      <c r="C507" s="1423"/>
      <c r="D507" s="1423"/>
      <c r="E507" s="1423"/>
      <c r="F507" s="1423"/>
      <c r="G507" s="1423"/>
      <c r="H507" s="1424"/>
      <c r="I507" s="3" t="s">
        <v>414</v>
      </c>
      <c r="AC507" s="1355">
        <v>8</v>
      </c>
      <c r="AD507" s="1356"/>
      <c r="AE507" s="1356"/>
      <c r="AF507" s="1356"/>
      <c r="AG507" s="13" t="s">
        <v>404</v>
      </c>
      <c r="AH507" s="1400">
        <v>2028</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2"/>
      <c r="C508" s="1423"/>
      <c r="D508" s="1423"/>
      <c r="E508" s="1423"/>
      <c r="F508" s="1423"/>
      <c r="G508" s="1423"/>
      <c r="H508" s="1424"/>
      <c r="I508" s="931" t="s">
        <v>170</v>
      </c>
      <c r="J508" s="48"/>
      <c r="K508" s="48"/>
      <c r="L508" s="1433" t="s">
        <v>335</v>
      </c>
      <c r="M508" s="1434"/>
      <c r="N508" s="1434"/>
      <c r="O508" s="1434"/>
      <c r="P508" s="1434"/>
      <c r="Q508" s="1434"/>
      <c r="R508" s="1434"/>
      <c r="S508" s="1434"/>
      <c r="T508" s="1434"/>
      <c r="U508" s="1434"/>
      <c r="V508" s="1434"/>
      <c r="W508" s="1434"/>
      <c r="X508" s="1434"/>
      <c r="Y508" s="1434"/>
      <c r="Z508" s="1434"/>
      <c r="AA508" s="1434"/>
      <c r="AB508" s="1505"/>
      <c r="AC508" s="1450" t="s">
        <v>600</v>
      </c>
      <c r="AD508" s="1451"/>
      <c r="AE508" s="1451"/>
      <c r="AF508" s="1451"/>
      <c r="AG508" s="38" t="s">
        <v>404</v>
      </c>
      <c r="AH508" s="1400"/>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56" t="s">
        <v>554</v>
      </c>
      <c r="AD509" s="1456"/>
      <c r="AE509" s="1456"/>
      <c r="AF509" s="1456"/>
      <c r="AG509" s="13"/>
      <c r="AH509" s="1305"/>
      <c r="AI509" s="1305"/>
      <c r="AJ509" s="1305"/>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5">
        <v>1</v>
      </c>
      <c r="AD510" s="1356"/>
      <c r="AE510" s="1356"/>
      <c r="AF510" s="1357"/>
      <c r="AG510" s="13"/>
      <c r="AH510" s="1305"/>
      <c r="AI510" s="1305"/>
      <c r="AJ510" s="1305"/>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95">
        <v>1</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6" t="s">
        <v>403</v>
      </c>
      <c r="AD513" s="1492"/>
      <c r="AE513" s="1492"/>
      <c r="AF513" s="1492"/>
      <c r="AG513" s="38" t="s">
        <v>404</v>
      </c>
      <c r="AH513" s="1492" t="s">
        <v>405</v>
      </c>
      <c r="AI513" s="1492"/>
      <c r="AJ513" s="1492"/>
      <c r="AK513" s="1493"/>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50">
        <v>2</v>
      </c>
      <c r="AD514" s="1451"/>
      <c r="AE514" s="1451"/>
      <c r="AF514" s="1451"/>
      <c r="AG514" s="13" t="s">
        <v>404</v>
      </c>
      <c r="AH514" s="1400">
        <v>2024</v>
      </c>
      <c r="AI514" s="1400"/>
      <c r="AJ514" s="1400"/>
      <c r="AK514" s="1401"/>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2"/>
      <c r="C515" s="1423"/>
      <c r="D515" s="1423"/>
      <c r="E515" s="1423"/>
      <c r="F515" s="1423"/>
      <c r="G515" s="1423"/>
      <c r="H515" s="1424"/>
      <c r="I515" t="s">
        <v>417</v>
      </c>
      <c r="AC515" s="1450">
        <v>2</v>
      </c>
      <c r="AD515" s="1451"/>
      <c r="AE515" s="1451"/>
      <c r="AF515" s="1451"/>
      <c r="AG515" s="13" t="s">
        <v>404</v>
      </c>
      <c r="AH515" s="1400">
        <v>2024</v>
      </c>
      <c r="AI515" s="1400"/>
      <c r="AJ515" s="1400"/>
      <c r="AK515" s="1401"/>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50">
        <v>2</v>
      </c>
      <c r="AD516" s="1451"/>
      <c r="AE516" s="1451"/>
      <c r="AF516" s="1451"/>
      <c r="AG516" s="38" t="s">
        <v>404</v>
      </c>
      <c r="AH516" s="1400">
        <v>2025</v>
      </c>
      <c r="AI516" s="1400"/>
      <c r="AJ516" s="1400"/>
      <c r="AK516" s="1401"/>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400">
        <v>2024</v>
      </c>
      <c r="AI517" s="1400"/>
      <c r="AJ517" s="1400"/>
      <c r="AK517" s="1401"/>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2"/>
      <c r="C518" s="1423"/>
      <c r="D518" s="1423"/>
      <c r="E518" s="1423"/>
      <c r="F518" s="1423"/>
      <c r="G518" s="1423"/>
      <c r="H518" s="1424"/>
      <c r="I518" t="s">
        <v>417</v>
      </c>
      <c r="AC518" s="1450">
        <v>2</v>
      </c>
      <c r="AD518" s="1451"/>
      <c r="AE518" s="1451"/>
      <c r="AF518" s="1451"/>
      <c r="AG518" s="13" t="s">
        <v>404</v>
      </c>
      <c r="AH518" s="1400">
        <v>2024</v>
      </c>
      <c r="AI518" s="1400"/>
      <c r="AJ518" s="1400"/>
      <c r="AK518" s="1401"/>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50">
        <v>8</v>
      </c>
      <c r="AD519" s="1451"/>
      <c r="AE519" s="1451"/>
      <c r="AF519" s="1451"/>
      <c r="AG519" s="38" t="s">
        <v>404</v>
      </c>
      <c r="AH519" s="1400">
        <v>2027</v>
      </c>
      <c r="AI519" s="1400"/>
      <c r="AJ519" s="1400"/>
      <c r="AK519" s="1401"/>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19" t="s">
        <v>420</v>
      </c>
      <c r="C520" s="1420"/>
      <c r="D520" s="1420"/>
      <c r="E520" s="1420"/>
      <c r="F520" s="1420"/>
      <c r="G520" s="1420"/>
      <c r="H520" s="1421"/>
      <c r="I520" s="41" t="s">
        <v>421</v>
      </c>
      <c r="J520" s="42"/>
      <c r="K520" s="42"/>
      <c r="L520" s="42"/>
      <c r="M520" s="42"/>
      <c r="N520" s="42"/>
      <c r="O520" s="1433" t="s">
        <v>2472</v>
      </c>
      <c r="P520" s="1434"/>
      <c r="Q520" s="1434"/>
      <c r="R520" s="1434"/>
      <c r="S520" s="1434"/>
      <c r="T520" s="1434"/>
      <c r="U520" s="1434"/>
      <c r="V520" s="1434"/>
      <c r="W520" s="1434"/>
      <c r="X520" s="1434"/>
      <c r="Y520" s="1434"/>
      <c r="Z520" s="1434"/>
      <c r="AA520" s="1434"/>
      <c r="AB520" s="58"/>
      <c r="AC520" s="1355">
        <v>2</v>
      </c>
      <c r="AD520" s="1356"/>
      <c r="AE520" s="1356"/>
      <c r="AF520" s="1356"/>
      <c r="AG520" s="129" t="s">
        <v>404</v>
      </c>
      <c r="AH520" s="1400">
        <v>2024</v>
      </c>
      <c r="AI520" s="1400"/>
      <c r="AJ520" s="1400"/>
      <c r="AK520" s="1401"/>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2"/>
      <c r="C521" s="1423"/>
      <c r="D521" s="1423"/>
      <c r="E521" s="1423"/>
      <c r="F521" s="1423"/>
      <c r="G521" s="1423"/>
      <c r="H521" s="1424"/>
      <c r="I521" s="114" t="s">
        <v>422</v>
      </c>
      <c r="AB521" s="65"/>
      <c r="AC521" s="1450">
        <v>2</v>
      </c>
      <c r="AD521" s="1451"/>
      <c r="AE521" s="1451"/>
      <c r="AF521" s="1451"/>
      <c r="AG521" s="13" t="s">
        <v>404</v>
      </c>
      <c r="AH521" s="1400">
        <v>2024</v>
      </c>
      <c r="AI521" s="1400"/>
      <c r="AJ521" s="1400"/>
      <c r="AK521" s="1401"/>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50">
        <v>2</v>
      </c>
      <c r="AD522" s="1451"/>
      <c r="AE522" s="1451"/>
      <c r="AF522" s="1451"/>
      <c r="AG522" s="38" t="s">
        <v>404</v>
      </c>
      <c r="AH522" s="1400">
        <v>2025</v>
      </c>
      <c r="AI522" s="1400"/>
      <c r="AJ522" s="1400"/>
      <c r="AK522" s="1401"/>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2"/>
      <c r="C523" s="1423"/>
      <c r="D523" s="1423"/>
      <c r="E523" s="1423"/>
      <c r="F523" s="1423"/>
      <c r="G523" s="1423"/>
      <c r="H523" s="1424"/>
      <c r="I523" s="42" t="s">
        <v>424</v>
      </c>
      <c r="J523" s="42"/>
      <c r="K523" s="42"/>
      <c r="L523" s="42"/>
      <c r="M523" s="42"/>
      <c r="N523" s="42"/>
      <c r="O523" s="1433" t="s">
        <v>335</v>
      </c>
      <c r="P523" s="1434"/>
      <c r="Q523" s="1434"/>
      <c r="R523" s="1434"/>
      <c r="S523" s="1434"/>
      <c r="T523" s="1434"/>
      <c r="U523" s="1434"/>
      <c r="V523" s="1434"/>
      <c r="W523" s="1434"/>
      <c r="X523" s="1434"/>
      <c r="Y523" s="1434"/>
      <c r="Z523" s="1434"/>
      <c r="AA523" s="1434"/>
      <c r="AC523" s="1450" t="s">
        <v>600</v>
      </c>
      <c r="AD523" s="1451"/>
      <c r="AE523" s="1451"/>
      <c r="AF523" s="1451"/>
      <c r="AG523" s="13" t="s">
        <v>404</v>
      </c>
      <c r="AH523" s="1400"/>
      <c r="AI523" s="1400"/>
      <c r="AJ523" s="1400"/>
      <c r="AK523" s="1401"/>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2"/>
      <c r="C524" s="1423"/>
      <c r="D524" s="1423"/>
      <c r="E524" s="1423"/>
      <c r="F524" s="1423"/>
      <c r="G524" s="1423"/>
      <c r="H524" s="1424"/>
      <c r="I524" t="s">
        <v>422</v>
      </c>
      <c r="AC524" s="1450" t="s">
        <v>600</v>
      </c>
      <c r="AD524" s="1451"/>
      <c r="AE524" s="1451"/>
      <c r="AF524" s="1451"/>
      <c r="AG524" s="13" t="s">
        <v>404</v>
      </c>
      <c r="AH524" s="1400"/>
      <c r="AI524" s="1400"/>
      <c r="AJ524" s="1400"/>
      <c r="AK524" s="1401"/>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50" t="s">
        <v>600</v>
      </c>
      <c r="AD525" s="1451"/>
      <c r="AE525" s="1451"/>
      <c r="AF525" s="1451"/>
      <c r="AG525" s="38" t="s">
        <v>404</v>
      </c>
      <c r="AH525" s="1400"/>
      <c r="AI525" s="1400"/>
      <c r="AJ525" s="1400"/>
      <c r="AK525" s="1401"/>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2"/>
      <c r="C526" s="1423"/>
      <c r="D526" s="1423"/>
      <c r="E526" s="1423"/>
      <c r="F526" s="1423"/>
      <c r="G526" s="1423"/>
      <c r="H526" s="1424"/>
      <c r="I526" s="42" t="s">
        <v>424</v>
      </c>
      <c r="J526" s="42"/>
      <c r="K526" s="42"/>
      <c r="L526" s="42"/>
      <c r="M526" s="42"/>
      <c r="N526" s="42"/>
      <c r="O526" s="1433" t="s">
        <v>335</v>
      </c>
      <c r="P526" s="1434"/>
      <c r="Q526" s="1434"/>
      <c r="R526" s="1434"/>
      <c r="S526" s="1434"/>
      <c r="T526" s="1434"/>
      <c r="U526" s="1434"/>
      <c r="V526" s="1434"/>
      <c r="W526" s="1434"/>
      <c r="X526" s="1434"/>
      <c r="Y526" s="1434"/>
      <c r="Z526" s="1434"/>
      <c r="AA526" s="1434"/>
      <c r="AC526" s="1450" t="s">
        <v>600</v>
      </c>
      <c r="AD526" s="1451"/>
      <c r="AE526" s="1451"/>
      <c r="AF526" s="1451"/>
      <c r="AG526" s="13" t="s">
        <v>404</v>
      </c>
      <c r="AH526" s="1400"/>
      <c r="AI526" s="1400"/>
      <c r="AJ526" s="1400"/>
      <c r="AK526" s="1401"/>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2"/>
      <c r="C527" s="1423"/>
      <c r="D527" s="1423"/>
      <c r="E527" s="1423"/>
      <c r="F527" s="1423"/>
      <c r="G527" s="1423"/>
      <c r="H527" s="1424"/>
      <c r="I527" t="s">
        <v>422</v>
      </c>
      <c r="AC527" s="1450" t="s">
        <v>600</v>
      </c>
      <c r="AD527" s="1451"/>
      <c r="AE527" s="1451"/>
      <c r="AF527" s="1451"/>
      <c r="AG527" s="13" t="s">
        <v>404</v>
      </c>
      <c r="AH527" s="1400"/>
      <c r="AI527" s="1400"/>
      <c r="AJ527" s="1400"/>
      <c r="AK527" s="1401"/>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50" t="s">
        <v>600</v>
      </c>
      <c r="AD528" s="1451"/>
      <c r="AE528" s="1451"/>
      <c r="AF528" s="1451"/>
      <c r="AG528" s="38" t="s">
        <v>404</v>
      </c>
      <c r="AH528" s="1400"/>
      <c r="AI528" s="1400"/>
      <c r="AJ528" s="1400"/>
      <c r="AK528" s="1401"/>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2"/>
      <c r="C529" s="1423"/>
      <c r="D529" s="1423"/>
      <c r="E529" s="1423"/>
      <c r="F529" s="1423"/>
      <c r="G529" s="1423"/>
      <c r="H529" s="1424"/>
      <c r="I529" s="42" t="s">
        <v>424</v>
      </c>
      <c r="J529" s="42"/>
      <c r="K529" s="42"/>
      <c r="L529" s="42"/>
      <c r="M529" s="42"/>
      <c r="N529" s="42"/>
      <c r="O529" s="1433" t="s">
        <v>335</v>
      </c>
      <c r="P529" s="1434"/>
      <c r="Q529" s="1434"/>
      <c r="R529" s="1434"/>
      <c r="S529" s="1434"/>
      <c r="T529" s="1434"/>
      <c r="U529" s="1434"/>
      <c r="V529" s="1434"/>
      <c r="W529" s="1434"/>
      <c r="X529" s="1434"/>
      <c r="Y529" s="1434"/>
      <c r="Z529" s="1434"/>
      <c r="AA529" s="1434"/>
      <c r="AC529" s="1450" t="s">
        <v>600</v>
      </c>
      <c r="AD529" s="1451"/>
      <c r="AE529" s="1451"/>
      <c r="AF529" s="1451"/>
      <c r="AG529" s="13" t="s">
        <v>404</v>
      </c>
      <c r="AH529" s="1400"/>
      <c r="AI529" s="1400"/>
      <c r="AJ529" s="1400"/>
      <c r="AK529" s="1401"/>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2"/>
      <c r="C530" s="1423"/>
      <c r="D530" s="1423"/>
      <c r="E530" s="1423"/>
      <c r="F530" s="1423"/>
      <c r="G530" s="1423"/>
      <c r="H530" s="1424"/>
      <c r="I530" t="s">
        <v>422</v>
      </c>
      <c r="AC530" s="1450" t="s">
        <v>600</v>
      </c>
      <c r="AD530" s="1451"/>
      <c r="AE530" s="1451"/>
      <c r="AF530" s="1451"/>
      <c r="AG530" s="13" t="s">
        <v>404</v>
      </c>
      <c r="AH530" s="1400"/>
      <c r="AI530" s="1400"/>
      <c r="AJ530" s="1400"/>
      <c r="AK530" s="1401"/>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50" t="s">
        <v>600</v>
      </c>
      <c r="AD531" s="1451"/>
      <c r="AE531" s="1451"/>
      <c r="AF531" s="1451"/>
      <c r="AG531" s="38" t="s">
        <v>404</v>
      </c>
      <c r="AH531" s="1400"/>
      <c r="AI531" s="1400"/>
      <c r="AJ531" s="1400"/>
      <c r="AK531" s="1401"/>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2"/>
      <c r="C532" s="1423"/>
      <c r="D532" s="1423"/>
      <c r="E532" s="1423"/>
      <c r="F532" s="1423"/>
      <c r="G532" s="1423"/>
      <c r="H532" s="1424"/>
      <c r="I532" s="42" t="s">
        <v>424</v>
      </c>
      <c r="J532" s="42"/>
      <c r="K532" s="42"/>
      <c r="L532" s="42"/>
      <c r="M532" s="42"/>
      <c r="N532" s="42"/>
      <c r="O532" s="1433" t="s">
        <v>335</v>
      </c>
      <c r="P532" s="1434"/>
      <c r="Q532" s="1434"/>
      <c r="R532" s="1434"/>
      <c r="S532" s="1434"/>
      <c r="T532" s="1434"/>
      <c r="U532" s="1434"/>
      <c r="V532" s="1434"/>
      <c r="W532" s="1434"/>
      <c r="X532" s="1434"/>
      <c r="Y532" s="1434"/>
      <c r="Z532" s="1434"/>
      <c r="AA532" s="1434"/>
      <c r="AC532" s="1450" t="s">
        <v>600</v>
      </c>
      <c r="AD532" s="1451"/>
      <c r="AE532" s="1451"/>
      <c r="AF532" s="1451"/>
      <c r="AG532" s="13" t="s">
        <v>404</v>
      </c>
      <c r="AH532" s="1400"/>
      <c r="AI532" s="1400"/>
      <c r="AJ532" s="1400"/>
      <c r="AK532" s="1401"/>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2"/>
      <c r="C533" s="1423"/>
      <c r="D533" s="1423"/>
      <c r="E533" s="1423"/>
      <c r="F533" s="1423"/>
      <c r="G533" s="1423"/>
      <c r="H533" s="1424"/>
      <c r="I533" t="s">
        <v>422</v>
      </c>
      <c r="AC533" s="1450" t="s">
        <v>600</v>
      </c>
      <c r="AD533" s="1451"/>
      <c r="AE533" s="1451"/>
      <c r="AF533" s="1451"/>
      <c r="AG533" s="38" t="s">
        <v>404</v>
      </c>
      <c r="AH533" s="1400"/>
      <c r="AI533" s="1400"/>
      <c r="AJ533" s="1400"/>
      <c r="AK533" s="1401"/>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50" t="s">
        <v>600</v>
      </c>
      <c r="AD534" s="1451"/>
      <c r="AE534" s="1451"/>
      <c r="AF534" s="1451"/>
      <c r="AG534" s="13" t="s">
        <v>404</v>
      </c>
      <c r="AH534" s="1400"/>
      <c r="AI534" s="1400"/>
      <c r="AJ534" s="1400"/>
      <c r="AK534" s="1401"/>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2"/>
      <c r="C535" s="1423"/>
      <c r="D535" s="1423"/>
      <c r="E535" s="1423"/>
      <c r="F535" s="1423"/>
      <c r="G535" s="1423"/>
      <c r="H535" s="1424"/>
      <c r="I535" s="42" t="s">
        <v>424</v>
      </c>
      <c r="J535" s="42"/>
      <c r="K535" s="42"/>
      <c r="L535" s="42"/>
      <c r="M535" s="42"/>
      <c r="N535" s="42"/>
      <c r="O535" s="1433" t="s">
        <v>335</v>
      </c>
      <c r="P535" s="1434"/>
      <c r="Q535" s="1434"/>
      <c r="R535" s="1434"/>
      <c r="S535" s="1434"/>
      <c r="T535" s="1434"/>
      <c r="U535" s="1434"/>
      <c r="V535" s="1434"/>
      <c r="W535" s="1434"/>
      <c r="X535" s="1434"/>
      <c r="Y535" s="1434"/>
      <c r="Z535" s="1434"/>
      <c r="AA535" s="1434"/>
      <c r="AC535" s="1450" t="s">
        <v>600</v>
      </c>
      <c r="AD535" s="1451"/>
      <c r="AE535" s="1451"/>
      <c r="AF535" s="1451"/>
      <c r="AG535" s="38" t="s">
        <v>404</v>
      </c>
      <c r="AH535" s="1400"/>
      <c r="AI535" s="1400"/>
      <c r="AJ535" s="1400"/>
      <c r="AK535" s="1401"/>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2"/>
      <c r="C536" s="1423"/>
      <c r="D536" s="1423"/>
      <c r="E536" s="1423"/>
      <c r="F536" s="1423"/>
      <c r="G536" s="1423"/>
      <c r="H536" s="1424"/>
      <c r="I536" t="s">
        <v>422</v>
      </c>
      <c r="AC536" s="1450" t="s">
        <v>600</v>
      </c>
      <c r="AD536" s="1451"/>
      <c r="AE536" s="1451"/>
      <c r="AF536" s="1451"/>
      <c r="AG536" s="13" t="s">
        <v>404</v>
      </c>
      <c r="AH536" s="1400"/>
      <c r="AI536" s="1400"/>
      <c r="AJ536" s="1400"/>
      <c r="AK536" s="1401"/>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50" t="s">
        <v>600</v>
      </c>
      <c r="AD537" s="1451"/>
      <c r="AE537" s="1451"/>
      <c r="AF537" s="1451"/>
      <c r="AG537" s="38" t="s">
        <v>404</v>
      </c>
      <c r="AH537" s="1400"/>
      <c r="AI537" s="1400"/>
      <c r="AJ537" s="1400"/>
      <c r="AK537" s="1401"/>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2"/>
      <c r="C538" s="1423"/>
      <c r="D538" s="1423"/>
      <c r="E538" s="1423"/>
      <c r="F538" s="1423"/>
      <c r="G538" s="1423"/>
      <c r="H538" s="1424"/>
      <c r="I538" s="42" t="s">
        <v>571</v>
      </c>
      <c r="J538" s="42"/>
      <c r="K538" s="42"/>
      <c r="L538" s="42"/>
      <c r="M538" s="42"/>
      <c r="N538" s="42"/>
      <c r="O538" s="42"/>
      <c r="P538" s="42"/>
      <c r="Q538" s="42"/>
      <c r="R538" s="42"/>
      <c r="S538" s="42"/>
      <c r="T538" s="42"/>
      <c r="U538" s="42"/>
      <c r="V538" s="42"/>
      <c r="W538" s="42"/>
      <c r="AC538" s="1450">
        <v>2</v>
      </c>
      <c r="AD538" s="1451"/>
      <c r="AE538" s="1451"/>
      <c r="AF538" s="1451"/>
      <c r="AG538" s="38" t="s">
        <v>404</v>
      </c>
      <c r="AH538" s="1400">
        <v>2025</v>
      </c>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2"/>
      <c r="C539" s="1423"/>
      <c r="D539" s="1423"/>
      <c r="E539" s="1423"/>
      <c r="F539" s="1423"/>
      <c r="G539" s="1423"/>
      <c r="H539" s="1424"/>
      <c r="I539" t="s">
        <v>572</v>
      </c>
      <c r="AC539" s="1450">
        <v>2</v>
      </c>
      <c r="AD539" s="1451"/>
      <c r="AE539" s="1451"/>
      <c r="AF539" s="1451"/>
      <c r="AG539" s="13" t="s">
        <v>404</v>
      </c>
      <c r="AH539" s="1400">
        <v>2025</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t="s">
        <v>573</v>
      </c>
      <c r="AC540" s="1450">
        <v>9</v>
      </c>
      <c r="AD540" s="1451"/>
      <c r="AE540" s="1451"/>
      <c r="AF540" s="1451"/>
      <c r="AG540" s="38" t="s">
        <v>404</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2"/>
      <c r="C541" s="1423"/>
      <c r="D541" s="1423"/>
      <c r="E541" s="1423"/>
      <c r="F541" s="1423"/>
      <c r="G541" s="1423"/>
      <c r="H541" s="1424"/>
      <c r="I541" t="s">
        <v>574</v>
      </c>
      <c r="AC541" s="1450">
        <v>9</v>
      </c>
      <c r="AD541" s="1451"/>
      <c r="AE541" s="1451"/>
      <c r="AF541" s="1451"/>
      <c r="AG541" s="38" t="s">
        <v>404</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5"/>
      <c r="C542" s="1426"/>
      <c r="D542" s="1426"/>
      <c r="E542" s="1426"/>
      <c r="F542" s="1426"/>
      <c r="G542" s="1426"/>
      <c r="H542" s="1427"/>
      <c r="I542" s="48" t="s">
        <v>460</v>
      </c>
      <c r="J542" s="48"/>
      <c r="K542" s="48"/>
      <c r="L542" s="48"/>
      <c r="M542" s="48"/>
      <c r="N542" s="48"/>
      <c r="O542" s="48"/>
      <c r="P542" s="48"/>
      <c r="Q542" s="48"/>
      <c r="R542" s="48"/>
      <c r="S542" s="48"/>
      <c r="T542" s="48"/>
      <c r="U542" s="48"/>
      <c r="V542" s="48"/>
      <c r="W542" s="48"/>
      <c r="X542" s="48"/>
      <c r="Y542" s="48"/>
      <c r="Z542" s="48"/>
      <c r="AA542" s="48"/>
      <c r="AB542" s="48"/>
      <c r="AC542" s="1450">
        <v>3</v>
      </c>
      <c r="AD542" s="1451"/>
      <c r="AE542" s="1451"/>
      <c r="AF542" s="1451"/>
      <c r="AG542" s="38" t="s">
        <v>404</v>
      </c>
      <c r="AH542" s="1400">
        <v>2027</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9" t="s">
        <v>2419</v>
      </c>
      <c r="C551" s="1420"/>
      <c r="D551" s="1420"/>
      <c r="E551" s="1420"/>
      <c r="F551" s="1420"/>
      <c r="G551" s="1420"/>
      <c r="H551" s="1420"/>
      <c r="I551" s="1420"/>
      <c r="J551" s="1420"/>
      <c r="K551" s="1420"/>
      <c r="L551" s="1421"/>
      <c r="M551" s="1419" t="s">
        <v>2420</v>
      </c>
      <c r="N551" s="1420"/>
      <c r="O551" s="1420"/>
      <c r="P551" s="1421"/>
      <c r="Q551" s="1419" t="s">
        <v>2446</v>
      </c>
      <c r="R551" s="1420"/>
      <c r="S551" s="1421"/>
      <c r="T551" s="1419" t="s">
        <v>2447</v>
      </c>
      <c r="U551" s="1420"/>
      <c r="V551" s="1421"/>
      <c r="W551" s="1419" t="s">
        <v>462</v>
      </c>
      <c r="X551" s="1420"/>
      <c r="Y551" s="1421"/>
      <c r="Z551" s="1419" t="s">
        <v>2044</v>
      </c>
      <c r="AA551" s="1420"/>
      <c r="AB551" s="1420"/>
      <c r="AC551" s="1420"/>
      <c r="AD551" s="1421"/>
      <c r="AE551" s="1419" t="s">
        <v>1866</v>
      </c>
      <c r="AF551" s="1420"/>
      <c r="AG551" s="1420"/>
      <c r="AH551" s="1421"/>
      <c r="AI551" s="1419" t="s">
        <v>1867</v>
      </c>
      <c r="AJ551" s="1420"/>
      <c r="AK551" s="1420"/>
      <c r="AL551" s="1421"/>
      <c r="AM551" s="1419" t="s">
        <v>463</v>
      </c>
      <c r="AN551" s="1420"/>
      <c r="AO551" s="1420"/>
      <c r="AP551" s="1420"/>
      <c r="AQ551" s="1420"/>
      <c r="AR551" s="1420"/>
      <c r="AS551" s="142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4" t="s">
        <v>2728</v>
      </c>
      <c r="D554" s="1574"/>
      <c r="E554" s="1574"/>
      <c r="F554" s="1574"/>
      <c r="G554" s="1574"/>
      <c r="H554" s="1574"/>
      <c r="I554" s="1574"/>
      <c r="J554" s="1574"/>
      <c r="K554" s="1574"/>
      <c r="L554" s="1574"/>
      <c r="M554" s="1574" t="s">
        <v>2436</v>
      </c>
      <c r="N554" s="1574"/>
      <c r="O554" s="1574"/>
      <c r="P554" s="1574"/>
      <c r="Q554" s="1439">
        <v>24</v>
      </c>
      <c r="R554" s="1439"/>
      <c r="S554" s="1440"/>
      <c r="T554" s="1438"/>
      <c r="U554" s="1439"/>
      <c r="V554" s="1440"/>
      <c r="W554" s="1501">
        <v>7.2800000000000004E-2</v>
      </c>
      <c r="X554" s="1502"/>
      <c r="Y554" s="1503"/>
      <c r="Z554" s="1491" t="s">
        <v>2733</v>
      </c>
      <c r="AA554" s="1491"/>
      <c r="AB554" s="1491"/>
      <c r="AC554" s="1491"/>
      <c r="AD554" s="1491"/>
      <c r="AE554" s="1435">
        <v>1</v>
      </c>
      <c r="AF554" s="1436"/>
      <c r="AG554" s="1436"/>
      <c r="AH554" s="1437"/>
      <c r="AI554" s="1488"/>
      <c r="AJ554" s="1489"/>
      <c r="AK554" s="1489"/>
      <c r="AL554" s="1490"/>
      <c r="AM554" s="1442">
        <f>36500000-1590000-500000</f>
        <v>34410000</v>
      </c>
      <c r="AN554" s="1443"/>
      <c r="AO554" s="1443"/>
      <c r="AP554" s="1443"/>
      <c r="AQ554" s="1443"/>
      <c r="AR554" s="1443"/>
      <c r="AS554" s="144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4" t="s">
        <v>2729</v>
      </c>
      <c r="D555" s="1504"/>
      <c r="E555" s="1504"/>
      <c r="F555" s="1504"/>
      <c r="G555" s="1504"/>
      <c r="H555" s="1504"/>
      <c r="I555" s="1504"/>
      <c r="J555" s="1504"/>
      <c r="K555" s="1504"/>
      <c r="L555" s="1504"/>
      <c r="M555" s="1574" t="s">
        <v>2437</v>
      </c>
      <c r="N555" s="1574"/>
      <c r="O555" s="1574"/>
      <c r="P555" s="1574"/>
      <c r="Q555" s="1438">
        <v>24</v>
      </c>
      <c r="R555" s="1439"/>
      <c r="S555" s="1440"/>
      <c r="T555" s="1438"/>
      <c r="U555" s="1439"/>
      <c r="V555" s="1440"/>
      <c r="W555" s="1501">
        <v>7.2800000000000004E-2</v>
      </c>
      <c r="X555" s="1502"/>
      <c r="Y555" s="1503"/>
      <c r="Z555" s="1491" t="s">
        <v>2733</v>
      </c>
      <c r="AA555" s="1491"/>
      <c r="AB555" s="1491"/>
      <c r="AC555" s="1491"/>
      <c r="AD555" s="1491"/>
      <c r="AE555" s="1435">
        <v>2</v>
      </c>
      <c r="AF555" s="1436"/>
      <c r="AG555" s="1436"/>
      <c r="AH555" s="1437"/>
      <c r="AI555" s="1488"/>
      <c r="AJ555" s="1489"/>
      <c r="AK555" s="1489"/>
      <c r="AL555" s="1490"/>
      <c r="AM555" s="1442">
        <v>6000000</v>
      </c>
      <c r="AN555" s="1443"/>
      <c r="AO555" s="1443"/>
      <c r="AP555" s="1443"/>
      <c r="AQ555" s="1443"/>
      <c r="AR555" s="1443"/>
      <c r="AS555" s="144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4" t="s">
        <v>2730</v>
      </c>
      <c r="D556" s="1504"/>
      <c r="E556" s="1504"/>
      <c r="F556" s="1504"/>
      <c r="G556" s="1504"/>
      <c r="H556" s="1504"/>
      <c r="I556" s="1504"/>
      <c r="J556" s="1504"/>
      <c r="K556" s="1504"/>
      <c r="L556" s="1504"/>
      <c r="M556" s="1574" t="s">
        <v>2431</v>
      </c>
      <c r="N556" s="1574"/>
      <c r="O556" s="1574"/>
      <c r="P556" s="1574"/>
      <c r="Q556" s="1438">
        <v>24</v>
      </c>
      <c r="R556" s="1439"/>
      <c r="S556" s="1440"/>
      <c r="T556" s="1438"/>
      <c r="U556" s="1439"/>
      <c r="V556" s="1440"/>
      <c r="W556" s="1501">
        <v>8.0699999999999994E-2</v>
      </c>
      <c r="X556" s="1502"/>
      <c r="Y556" s="1503"/>
      <c r="Z556" s="1491" t="s">
        <v>2733</v>
      </c>
      <c r="AA556" s="1491"/>
      <c r="AB556" s="1491"/>
      <c r="AC556" s="1491"/>
      <c r="AD556" s="1491"/>
      <c r="AE556" s="1435">
        <v>3</v>
      </c>
      <c r="AF556" s="1436"/>
      <c r="AG556" s="1436"/>
      <c r="AH556" s="1437"/>
      <c r="AI556" s="1488"/>
      <c r="AJ556" s="1489"/>
      <c r="AK556" s="1489"/>
      <c r="AL556" s="1490"/>
      <c r="AM556" s="1442">
        <f>6000000+249743-28843-97</f>
        <v>6220803</v>
      </c>
      <c r="AN556" s="1443"/>
      <c r="AO556" s="1443"/>
      <c r="AP556" s="1443"/>
      <c r="AQ556" s="1443"/>
      <c r="AR556" s="1443"/>
      <c r="AS556" s="144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4" t="s">
        <v>2731</v>
      </c>
      <c r="D557" s="1504"/>
      <c r="E557" s="1504"/>
      <c r="F557" s="1504"/>
      <c r="G557" s="1504"/>
      <c r="H557" s="1504"/>
      <c r="I557" s="1504"/>
      <c r="J557" s="1504"/>
      <c r="K557" s="1504"/>
      <c r="L557" s="1504"/>
      <c r="M557" s="1574" t="s">
        <v>2427</v>
      </c>
      <c r="N557" s="1574"/>
      <c r="O557" s="1574"/>
      <c r="P557" s="1574"/>
      <c r="Q557" s="1438"/>
      <c r="R557" s="1439"/>
      <c r="S557" s="1440"/>
      <c r="T557" s="1438"/>
      <c r="U557" s="1439"/>
      <c r="V557" s="1440"/>
      <c r="W557" s="1501"/>
      <c r="X557" s="1502"/>
      <c r="Y557" s="1503"/>
      <c r="Z557" s="1491" t="s">
        <v>1291</v>
      </c>
      <c r="AA557" s="1491"/>
      <c r="AB557" s="1491"/>
      <c r="AC557" s="1491"/>
      <c r="AD557" s="1491"/>
      <c r="AE557" s="1435"/>
      <c r="AF557" s="1436"/>
      <c r="AG557" s="1436"/>
      <c r="AH557" s="1437"/>
      <c r="AI557" s="1488"/>
      <c r="AJ557" s="1489"/>
      <c r="AK557" s="1489"/>
      <c r="AL557" s="1490"/>
      <c r="AM557" s="1442">
        <v>17592202</v>
      </c>
      <c r="AN557" s="1443"/>
      <c r="AO557" s="1443"/>
      <c r="AP557" s="1443"/>
      <c r="AQ557" s="1443"/>
      <c r="AR557" s="1443"/>
      <c r="AS557" s="144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4" t="s">
        <v>2732</v>
      </c>
      <c r="D558" s="1504"/>
      <c r="E558" s="1504"/>
      <c r="F558" s="1504"/>
      <c r="G558" s="1504"/>
      <c r="H558" s="1504"/>
      <c r="I558" s="1504"/>
      <c r="J558" s="1504"/>
      <c r="K558" s="1504"/>
      <c r="L558" s="1504"/>
      <c r="M558" s="1574" t="s">
        <v>2422</v>
      </c>
      <c r="N558" s="1574"/>
      <c r="O558" s="1574"/>
      <c r="P558" s="1574"/>
      <c r="Q558" s="1438"/>
      <c r="R558" s="1439"/>
      <c r="S558" s="1440"/>
      <c r="T558" s="1438"/>
      <c r="U558" s="1439"/>
      <c r="V558" s="1440"/>
      <c r="W558" s="1501"/>
      <c r="X558" s="1502"/>
      <c r="Y558" s="1503"/>
      <c r="Z558" s="1491" t="s">
        <v>1291</v>
      </c>
      <c r="AA558" s="1491"/>
      <c r="AB558" s="1491"/>
      <c r="AC558" s="1491"/>
      <c r="AD558" s="1491"/>
      <c r="AE558" s="1435"/>
      <c r="AF558" s="1436"/>
      <c r="AG558" s="1436"/>
      <c r="AH558" s="1437"/>
      <c r="AI558" s="1488"/>
      <c r="AJ558" s="1489"/>
      <c r="AK558" s="1489"/>
      <c r="AL558" s="1490"/>
      <c r="AM558" s="1442">
        <f>+'Sources and Uses Budget'!C75+'Sources and Uses Budget'!H99</f>
        <v>6261086</v>
      </c>
      <c r="AN558" s="1443"/>
      <c r="AO558" s="1443"/>
      <c r="AP558" s="1443"/>
      <c r="AQ558" s="1443"/>
      <c r="AR558" s="1443"/>
      <c r="AS558" s="1444"/>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4"/>
      <c r="D559" s="1504"/>
      <c r="E559" s="1504"/>
      <c r="F559" s="1504"/>
      <c r="G559" s="1504"/>
      <c r="H559" s="1504"/>
      <c r="I559" s="1504"/>
      <c r="J559" s="1504"/>
      <c r="K559" s="1504"/>
      <c r="L559" s="1504"/>
      <c r="M559" s="1574" t="s">
        <v>1291</v>
      </c>
      <c r="N559" s="1574"/>
      <c r="O559" s="1574"/>
      <c r="P559" s="1574"/>
      <c r="Q559" s="1438"/>
      <c r="R559" s="1439"/>
      <c r="S559" s="1440"/>
      <c r="T559" s="1438"/>
      <c r="U559" s="1439"/>
      <c r="V559" s="1440"/>
      <c r="W559" s="1501"/>
      <c r="X559" s="1502"/>
      <c r="Y559" s="1503"/>
      <c r="Z559" s="1491" t="s">
        <v>1291</v>
      </c>
      <c r="AA559" s="1491"/>
      <c r="AB559" s="1491"/>
      <c r="AC559" s="1491"/>
      <c r="AD559" s="1491"/>
      <c r="AE559" s="1435"/>
      <c r="AF559" s="1436"/>
      <c r="AG559" s="1436"/>
      <c r="AH559" s="1437"/>
      <c r="AI559" s="1488"/>
      <c r="AJ559" s="1489"/>
      <c r="AK559" s="1489"/>
      <c r="AL559" s="1490"/>
      <c r="AM559" s="1442"/>
      <c r="AN559" s="1443"/>
      <c r="AO559" s="1443"/>
      <c r="AP559" s="1443"/>
      <c r="AQ559" s="1443"/>
      <c r="AR559" s="1443"/>
      <c r="AS559" s="1444"/>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4"/>
      <c r="D560" s="1504"/>
      <c r="E560" s="1504"/>
      <c r="F560" s="1504"/>
      <c r="G560" s="1504"/>
      <c r="H560" s="1504"/>
      <c r="I560" s="1504"/>
      <c r="J560" s="1504"/>
      <c r="K560" s="1504"/>
      <c r="L560" s="1504"/>
      <c r="M560" s="1574" t="s">
        <v>1291</v>
      </c>
      <c r="N560" s="1574"/>
      <c r="O560" s="1574"/>
      <c r="P560" s="1574"/>
      <c r="Q560" s="1438"/>
      <c r="R560" s="1439"/>
      <c r="S560" s="1440"/>
      <c r="T560" s="1438"/>
      <c r="U560" s="1439"/>
      <c r="V560" s="1440"/>
      <c r="W560" s="1501"/>
      <c r="X560" s="1502"/>
      <c r="Y560" s="1503"/>
      <c r="Z560" s="1491" t="s">
        <v>1291</v>
      </c>
      <c r="AA560" s="1491"/>
      <c r="AB560" s="1491"/>
      <c r="AC560" s="1491"/>
      <c r="AD560" s="1491"/>
      <c r="AE560" s="1435"/>
      <c r="AF560" s="1436"/>
      <c r="AG560" s="1436"/>
      <c r="AH560" s="1437"/>
      <c r="AI560" s="1488"/>
      <c r="AJ560" s="1489"/>
      <c r="AK560" s="1489"/>
      <c r="AL560" s="1490"/>
      <c r="AM560" s="1442"/>
      <c r="AN560" s="1443"/>
      <c r="AO560" s="1443"/>
      <c r="AP560" s="1443"/>
      <c r="AQ560" s="1443"/>
      <c r="AR560" s="1443"/>
      <c r="AS560" s="144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4"/>
      <c r="D561" s="1504"/>
      <c r="E561" s="1504"/>
      <c r="F561" s="1504"/>
      <c r="G561" s="1504"/>
      <c r="H561" s="1504"/>
      <c r="I561" s="1504"/>
      <c r="J561" s="1504"/>
      <c r="K561" s="1504"/>
      <c r="L561" s="1504"/>
      <c r="M561" s="1574" t="s">
        <v>1291</v>
      </c>
      <c r="N561" s="1574"/>
      <c r="O561" s="1574"/>
      <c r="P561" s="1574"/>
      <c r="Q561" s="1438"/>
      <c r="R561" s="1439"/>
      <c r="S561" s="1440"/>
      <c r="T561" s="1438"/>
      <c r="U561" s="1439"/>
      <c r="V561" s="1440"/>
      <c r="W561" s="1501"/>
      <c r="X561" s="1502"/>
      <c r="Y561" s="1503"/>
      <c r="Z561" s="1491" t="s">
        <v>1291</v>
      </c>
      <c r="AA561" s="1491"/>
      <c r="AB561" s="1491"/>
      <c r="AC561" s="1491"/>
      <c r="AD561" s="1491"/>
      <c r="AE561" s="1435"/>
      <c r="AF561" s="1436"/>
      <c r="AG561" s="1436"/>
      <c r="AH561" s="1437"/>
      <c r="AI561" s="1488"/>
      <c r="AJ561" s="1489"/>
      <c r="AK561" s="1489"/>
      <c r="AL561" s="1490"/>
      <c r="AM561" s="1442"/>
      <c r="AN561" s="1443"/>
      <c r="AO561" s="1443"/>
      <c r="AP561" s="1443"/>
      <c r="AQ561" s="1443"/>
      <c r="AR561" s="1443"/>
      <c r="AS561" s="144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4"/>
      <c r="D562" s="1504"/>
      <c r="E562" s="1504"/>
      <c r="F562" s="1504"/>
      <c r="G562" s="1504"/>
      <c r="H562" s="1504"/>
      <c r="I562" s="1504"/>
      <c r="J562" s="1504"/>
      <c r="K562" s="1504"/>
      <c r="L562" s="1504"/>
      <c r="M562" s="1574" t="s">
        <v>1291</v>
      </c>
      <c r="N562" s="1574"/>
      <c r="O562" s="1574"/>
      <c r="P562" s="1574"/>
      <c r="Q562" s="1438"/>
      <c r="R562" s="1439"/>
      <c r="S562" s="1440"/>
      <c r="T562" s="1438"/>
      <c r="U562" s="1439"/>
      <c r="V562" s="1440"/>
      <c r="W562" s="1501"/>
      <c r="X562" s="1502"/>
      <c r="Y562" s="1503"/>
      <c r="Z562" s="1491" t="s">
        <v>1291</v>
      </c>
      <c r="AA562" s="1491"/>
      <c r="AB562" s="1491"/>
      <c r="AC562" s="1491"/>
      <c r="AD562" s="1491"/>
      <c r="AE562" s="1435"/>
      <c r="AF562" s="1436"/>
      <c r="AG562" s="1436"/>
      <c r="AH562" s="1437"/>
      <c r="AI562" s="1488"/>
      <c r="AJ562" s="1489"/>
      <c r="AK562" s="1489"/>
      <c r="AL562" s="1490"/>
      <c r="AM562" s="1442"/>
      <c r="AN562" s="1443"/>
      <c r="AO562" s="1443"/>
      <c r="AP562" s="1443"/>
      <c r="AQ562" s="1443"/>
      <c r="AR562" s="1443"/>
      <c r="AS562" s="144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4"/>
      <c r="D563" s="1504"/>
      <c r="E563" s="1504"/>
      <c r="F563" s="1504"/>
      <c r="G563" s="1504"/>
      <c r="H563" s="1504"/>
      <c r="I563" s="1504"/>
      <c r="J563" s="1504"/>
      <c r="K563" s="1504"/>
      <c r="L563" s="1504"/>
      <c r="M563" s="1574" t="s">
        <v>1291</v>
      </c>
      <c r="N563" s="1574"/>
      <c r="O563" s="1574"/>
      <c r="P563" s="1574"/>
      <c r="Q563" s="1438"/>
      <c r="R563" s="1439"/>
      <c r="S563" s="1440"/>
      <c r="T563" s="1438"/>
      <c r="U563" s="1439"/>
      <c r="V563" s="1440"/>
      <c r="W563" s="1501"/>
      <c r="X563" s="1502"/>
      <c r="Y563" s="1503"/>
      <c r="Z563" s="1491" t="s">
        <v>1291</v>
      </c>
      <c r="AA563" s="1491"/>
      <c r="AB563" s="1491"/>
      <c r="AC563" s="1491"/>
      <c r="AD563" s="1491"/>
      <c r="AE563" s="1435"/>
      <c r="AF563" s="1436"/>
      <c r="AG563" s="1436"/>
      <c r="AH563" s="1437"/>
      <c r="AI563" s="1488"/>
      <c r="AJ563" s="1489"/>
      <c r="AK563" s="1489"/>
      <c r="AL563" s="1490"/>
      <c r="AM563" s="1442"/>
      <c r="AN563" s="1443"/>
      <c r="AO563" s="1443"/>
      <c r="AP563" s="1443"/>
      <c r="AQ563" s="1443"/>
      <c r="AR563" s="1443"/>
      <c r="AS563" s="144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4"/>
      <c r="D564" s="1504"/>
      <c r="E564" s="1504"/>
      <c r="F564" s="1504"/>
      <c r="G564" s="1504"/>
      <c r="H564" s="1504"/>
      <c r="I564" s="1504"/>
      <c r="J564" s="1504"/>
      <c r="K564" s="1504"/>
      <c r="L564" s="1504"/>
      <c r="M564" s="1574" t="s">
        <v>1291</v>
      </c>
      <c r="N564" s="1574"/>
      <c r="O564" s="1574"/>
      <c r="P564" s="1574"/>
      <c r="Q564" s="1438"/>
      <c r="R564" s="1439"/>
      <c r="S564" s="1440"/>
      <c r="T564" s="1438"/>
      <c r="U564" s="1439"/>
      <c r="V564" s="1440"/>
      <c r="W564" s="1501"/>
      <c r="X564" s="1502"/>
      <c r="Y564" s="1503"/>
      <c r="Z564" s="1491" t="s">
        <v>1291</v>
      </c>
      <c r="AA564" s="1491"/>
      <c r="AB564" s="1491"/>
      <c r="AC564" s="1491"/>
      <c r="AD564" s="1491"/>
      <c r="AE564" s="1435"/>
      <c r="AF564" s="1436"/>
      <c r="AG564" s="1436"/>
      <c r="AH564" s="1437"/>
      <c r="AI564" s="1488"/>
      <c r="AJ564" s="1489"/>
      <c r="AK564" s="1489"/>
      <c r="AL564" s="1490"/>
      <c r="AM564" s="1442"/>
      <c r="AN564" s="1443"/>
      <c r="AO564" s="1443"/>
      <c r="AP564" s="1443"/>
      <c r="AQ564" s="1443"/>
      <c r="AR564" s="1443"/>
      <c r="AS564" s="144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4"/>
      <c r="D565" s="1504"/>
      <c r="E565" s="1504"/>
      <c r="F565" s="1504"/>
      <c r="G565" s="1504"/>
      <c r="H565" s="1504"/>
      <c r="I565" s="1504"/>
      <c r="J565" s="1504"/>
      <c r="K565" s="1504"/>
      <c r="L565" s="1504"/>
      <c r="M565" s="1574" t="s">
        <v>1291</v>
      </c>
      <c r="N565" s="1574"/>
      <c r="O565" s="1574"/>
      <c r="P565" s="1574"/>
      <c r="Q565" s="1438"/>
      <c r="R565" s="1439"/>
      <c r="S565" s="1440"/>
      <c r="T565" s="1438"/>
      <c r="U565" s="1439"/>
      <c r="V565" s="1440"/>
      <c r="W565" s="1501"/>
      <c r="X565" s="1502"/>
      <c r="Y565" s="1503"/>
      <c r="Z565" s="1491" t="s">
        <v>1291</v>
      </c>
      <c r="AA565" s="1491"/>
      <c r="AB565" s="1491"/>
      <c r="AC565" s="1491"/>
      <c r="AD565" s="1491"/>
      <c r="AE565" s="1435"/>
      <c r="AF565" s="1436"/>
      <c r="AG565" s="1436"/>
      <c r="AH565" s="1437"/>
      <c r="AI565" s="1488"/>
      <c r="AJ565" s="1489"/>
      <c r="AK565" s="1489"/>
      <c r="AL565" s="1490"/>
      <c r="AM565" s="1442"/>
      <c r="AN565" s="1443"/>
      <c r="AO565" s="1443"/>
      <c r="AP565" s="1443"/>
      <c r="AQ565" s="1443"/>
      <c r="AR565" s="1443"/>
      <c r="AS565" s="144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5" t="s">
        <v>127</v>
      </c>
      <c r="C566" s="1606"/>
      <c r="D566" s="1606"/>
      <c r="E566" s="1606"/>
      <c r="F566" s="1606"/>
      <c r="G566" s="1606"/>
      <c r="H566" s="1606"/>
      <c r="I566" s="1606"/>
      <c r="J566" s="1606"/>
      <c r="K566" s="1606"/>
      <c r="L566" s="1606"/>
      <c r="M566" s="1606"/>
      <c r="N566" s="1606"/>
      <c r="O566" s="1606"/>
      <c r="P566" s="1606"/>
      <c r="Q566" s="1606"/>
      <c r="R566" s="1606"/>
      <c r="S566" s="1606"/>
      <c r="T566" s="1606"/>
      <c r="U566" s="1587"/>
      <c r="V566" s="1606"/>
      <c r="W566" s="1606"/>
      <c r="X566" s="1606"/>
      <c r="Y566" s="1606"/>
      <c r="Z566" s="1606"/>
      <c r="AA566" s="1606"/>
      <c r="AB566" s="1606"/>
      <c r="AC566" s="1606"/>
      <c r="AD566" s="1606"/>
      <c r="AE566" s="1606"/>
      <c r="AF566" s="1606"/>
      <c r="AG566" s="1606"/>
      <c r="AH566" s="1606"/>
      <c r="AI566" s="1606"/>
      <c r="AJ566" s="1606"/>
      <c r="AK566" s="1606"/>
      <c r="AL566" s="1607"/>
      <c r="AM566" s="1630">
        <f>SUM(AM554:AS565)</f>
        <v>70484091</v>
      </c>
      <c r="AN566" s="1623"/>
      <c r="AO566" s="1623"/>
      <c r="AP566" s="1623"/>
      <c r="AQ566" s="1623"/>
      <c r="AR566" s="1623"/>
      <c r="AS566" s="162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7" t="str">
        <f>C554</f>
        <v>Merchant's Capital</v>
      </c>
      <c r="H568" s="1507"/>
      <c r="I568" s="1507"/>
      <c r="J568" s="1507"/>
      <c r="K568" s="1507"/>
      <c r="L568" s="1507"/>
      <c r="M568" s="1507"/>
      <c r="N568" s="1507"/>
      <c r="O568" s="1507"/>
      <c r="P568" s="1507"/>
      <c r="Q568" s="1507"/>
      <c r="R568" s="1507"/>
      <c r="S568" s="8"/>
      <c r="T568" s="55" t="s">
        <v>113</v>
      </c>
      <c r="U568" t="s">
        <v>472</v>
      </c>
      <c r="Z568" s="1507" t="str">
        <f>C555</f>
        <v>Merchant's Capital - Recycled Bonds</v>
      </c>
      <c r="AA568" s="1507"/>
      <c r="AB568" s="1507"/>
      <c r="AC568" s="1507"/>
      <c r="AD568" s="1507"/>
      <c r="AE568" s="1507"/>
      <c r="AF568" s="1507"/>
      <c r="AG568" s="1507"/>
      <c r="AH568" s="1507"/>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2734</v>
      </c>
      <c r="H569" s="1384"/>
      <c r="I569" s="1384"/>
      <c r="J569" s="1384"/>
      <c r="K569" s="1384"/>
      <c r="L569" s="1384"/>
      <c r="M569" s="1384"/>
      <c r="N569" s="1384"/>
      <c r="O569" s="1384"/>
      <c r="P569" s="1384"/>
      <c r="Q569" s="1384"/>
      <c r="R569" s="1384"/>
      <c r="S569" s="8"/>
      <c r="T569" s="22"/>
      <c r="U569" t="s">
        <v>85</v>
      </c>
      <c r="Z569" s="1384" t="s">
        <v>2734</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2735</v>
      </c>
      <c r="H570" s="1384"/>
      <c r="I570" s="1384"/>
      <c r="J570" s="1384"/>
      <c r="K570" s="1384"/>
      <c r="L570" s="1384"/>
      <c r="M570" s="1384"/>
      <c r="N570" s="1384"/>
      <c r="O570" s="1384"/>
      <c r="P570" s="1384"/>
      <c r="Q570" s="1384"/>
      <c r="R570" s="1384"/>
      <c r="T570" s="22"/>
      <c r="U570" t="s">
        <v>589</v>
      </c>
      <c r="Z570" s="1454" t="s">
        <v>2735</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2736</v>
      </c>
      <c r="H571" s="1384"/>
      <c r="I571" s="1384"/>
      <c r="J571" s="1384"/>
      <c r="K571" s="1384"/>
      <c r="L571" s="1384"/>
      <c r="M571" s="1384"/>
      <c r="N571" s="1384"/>
      <c r="O571" s="1384"/>
      <c r="P571" s="1384"/>
      <c r="Q571" s="1384"/>
      <c r="R571" s="1384"/>
      <c r="S571" s="8"/>
      <c r="T571" s="22"/>
      <c r="U571" t="s">
        <v>17</v>
      </c>
      <c r="Z571" s="1454" t="s">
        <v>2736</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2737</v>
      </c>
      <c r="H572" s="1386"/>
      <c r="I572" s="1386"/>
      <c r="J572" s="1386"/>
      <c r="K572" s="1386"/>
      <c r="L572" s="1386"/>
      <c r="O572" s="33" t="s">
        <v>207</v>
      </c>
      <c r="P572" s="1385"/>
      <c r="Q572" s="1385"/>
      <c r="R572" s="1385"/>
      <c r="S572" s="10"/>
      <c r="T572" s="22"/>
      <c r="U572" t="s">
        <v>317</v>
      </c>
      <c r="Z572" s="1386" t="s">
        <v>2737</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2738</v>
      </c>
      <c r="I573" s="1384"/>
      <c r="J573" s="1384"/>
      <c r="K573" s="1384"/>
      <c r="L573" s="1384"/>
      <c r="M573" s="1384"/>
      <c r="N573" s="1384"/>
      <c r="O573" s="1384"/>
      <c r="P573" s="1384"/>
      <c r="Q573" s="1384"/>
      <c r="R573" s="1384"/>
      <c r="S573" s="8"/>
      <c r="T573" s="22"/>
      <c r="U573" t="s">
        <v>18</v>
      </c>
      <c r="AA573" s="1384" t="s">
        <v>2739</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2"/>
      <c r="N574" s="1572"/>
      <c r="O574" s="1572"/>
      <c r="P574" s="1572"/>
      <c r="Q574" s="1572"/>
      <c r="R574" s="1572"/>
      <c r="S574" s="8"/>
      <c r="T574" s="22"/>
      <c r="U574" s="348" t="s">
        <v>1292</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678</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7" t="str">
        <f>C556</f>
        <v>Merchant's Capital - Equity Bridge Loan</v>
      </c>
      <c r="H577" s="1507"/>
      <c r="I577" s="1507"/>
      <c r="J577" s="1507"/>
      <c r="K577" s="1507"/>
      <c r="L577" s="1507"/>
      <c r="M577" s="1507"/>
      <c r="N577" s="1507"/>
      <c r="O577" s="1507"/>
      <c r="P577" s="1507"/>
      <c r="Q577" s="1507"/>
      <c r="R577" s="1507"/>
      <c r="T577" s="55" t="s">
        <v>590</v>
      </c>
      <c r="U577" t="s">
        <v>472</v>
      </c>
      <c r="Z577" s="1507" t="str">
        <f>C557</f>
        <v>WNC - Capital Contributions</v>
      </c>
      <c r="AA577" s="1507"/>
      <c r="AB577" s="1507"/>
      <c r="AC577" s="1507"/>
      <c r="AD577" s="1507"/>
      <c r="AE577" s="1507"/>
      <c r="AF577" s="1507"/>
      <c r="AG577" s="1507"/>
      <c r="AH577" s="1507"/>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2734</v>
      </c>
      <c r="H578" s="1384"/>
      <c r="I578" s="1384"/>
      <c r="J578" s="1384"/>
      <c r="K578" s="1384"/>
      <c r="L578" s="1384"/>
      <c r="M578" s="1384"/>
      <c r="N578" s="1384"/>
      <c r="O578" s="1384"/>
      <c r="P578" s="1384"/>
      <c r="Q578" s="1384"/>
      <c r="R578" s="1384"/>
      <c r="T578" s="22"/>
      <c r="U578" t="s">
        <v>85</v>
      </c>
      <c r="Z578" s="1384" t="s">
        <v>2695</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4" t="s">
        <v>2735</v>
      </c>
      <c r="H579" s="1454"/>
      <c r="I579" s="1454"/>
      <c r="J579" s="1454"/>
      <c r="K579" s="1454"/>
      <c r="L579" s="1454"/>
      <c r="M579" s="1454"/>
      <c r="N579" s="1454"/>
      <c r="O579" s="1454"/>
      <c r="P579" s="1454"/>
      <c r="Q579" s="1454"/>
      <c r="R579" s="1454"/>
      <c r="T579" s="22"/>
      <c r="U579" t="s">
        <v>589</v>
      </c>
      <c r="Z579" s="1454" t="s">
        <v>2696</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4" t="s">
        <v>2736</v>
      </c>
      <c r="H580" s="1454"/>
      <c r="I580" s="1454"/>
      <c r="J580" s="1454"/>
      <c r="K580" s="1454"/>
      <c r="L580" s="1454"/>
      <c r="M580" s="1454"/>
      <c r="N580" s="1454"/>
      <c r="O580" s="1454"/>
      <c r="P580" s="1454"/>
      <c r="Q580" s="1454"/>
      <c r="R580" s="1454"/>
      <c r="T580" s="22"/>
      <c r="U580" t="s">
        <v>17</v>
      </c>
      <c r="Z580" s="1454" t="s">
        <v>2740</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t="s">
        <v>2737</v>
      </c>
      <c r="H581" s="1386"/>
      <c r="I581" s="1386"/>
      <c r="J581" s="1386"/>
      <c r="K581" s="1386"/>
      <c r="L581" s="1386"/>
      <c r="O581" s="33" t="s">
        <v>207</v>
      </c>
      <c r="P581" s="1385"/>
      <c r="Q581" s="1385"/>
      <c r="R581" s="1385"/>
      <c r="T581" s="22"/>
      <c r="U581" t="s">
        <v>317</v>
      </c>
      <c r="Z581" s="1386" t="s">
        <v>2698</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2741</v>
      </c>
      <c r="I582" s="1384"/>
      <c r="J582" s="1384"/>
      <c r="K582" s="1384"/>
      <c r="L582" s="1384"/>
      <c r="M582" s="1384"/>
      <c r="N582" s="1384"/>
      <c r="O582" s="1384"/>
      <c r="P582" s="1384"/>
      <c r="Q582" s="1384"/>
      <c r="R582" s="1384"/>
      <c r="T582" s="22"/>
      <c r="U582" t="s">
        <v>18</v>
      </c>
      <c r="AA582" s="1384" t="s">
        <v>2742</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7" t="str">
        <f>C558</f>
        <v>Deferred Costs</v>
      </c>
      <c r="H585" s="1507"/>
      <c r="I585" s="1507"/>
      <c r="J585" s="1507"/>
      <c r="K585" s="1507"/>
      <c r="L585" s="1507"/>
      <c r="M585" s="1507"/>
      <c r="N585" s="1507"/>
      <c r="O585" s="1507"/>
      <c r="P585" s="1507"/>
      <c r="Q585" s="1507"/>
      <c r="R585" s="1507"/>
      <c r="T585" s="55" t="s">
        <v>593</v>
      </c>
      <c r="U585" t="s">
        <v>472</v>
      </c>
      <c r="Z585" s="1507">
        <f>C559</f>
        <v>0</v>
      </c>
      <c r="AA585" s="1507"/>
      <c r="AB585" s="1507"/>
      <c r="AC585" s="1507"/>
      <c r="AD585" s="1507"/>
      <c r="AE585" s="1507"/>
      <c r="AF585" s="1507"/>
      <c r="AG585" s="1507"/>
      <c r="AH585" s="1507"/>
      <c r="AI585" s="1507"/>
      <c r="AJ585" s="1507"/>
      <c r="AK585" s="15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2647</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2673</v>
      </c>
      <c r="H587" s="1384"/>
      <c r="I587" s="1384"/>
      <c r="J587" s="1384"/>
      <c r="K587" s="1384"/>
      <c r="L587" s="1384"/>
      <c r="M587" s="1384"/>
      <c r="N587" s="1384"/>
      <c r="O587" s="1384"/>
      <c r="P587" s="1384"/>
      <c r="Q587" s="1384"/>
      <c r="R587" s="1384"/>
      <c r="T587" s="22"/>
      <c r="U587" t="s">
        <v>589</v>
      </c>
      <c r="Z587" s="1454"/>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2650</v>
      </c>
      <c r="H588" s="1384"/>
      <c r="I588" s="1384"/>
      <c r="J588" s="1384"/>
      <c r="K588" s="1384"/>
      <c r="L588" s="1384"/>
      <c r="M588" s="1384"/>
      <c r="N588" s="1384"/>
      <c r="O588" s="1384"/>
      <c r="P588" s="1384"/>
      <c r="Q588" s="1384"/>
      <c r="R588" s="1384"/>
      <c r="T588" s="22"/>
      <c r="U588" t="s">
        <v>17</v>
      </c>
      <c r="Z588" s="1454"/>
      <c r="AA588" s="1454"/>
      <c r="AB588" s="1454"/>
      <c r="AC588" s="1454"/>
      <c r="AD588" s="1454"/>
      <c r="AE588" s="1454"/>
      <c r="AF588" s="1454"/>
      <c r="AG588" s="1454"/>
      <c r="AH588" s="1454"/>
      <c r="AI588" s="1454"/>
      <c r="AJ588" s="1454"/>
      <c r="AK588" s="1454"/>
    </row>
    <row r="589" spans="1:110" ht="12.95" customHeight="1">
      <c r="A589" s="22"/>
      <c r="B589" t="s">
        <v>317</v>
      </c>
      <c r="G589" s="1386" t="s">
        <v>2651</v>
      </c>
      <c r="H589" s="1386"/>
      <c r="I589" s="1386"/>
      <c r="J589" s="1386"/>
      <c r="K589" s="1386"/>
      <c r="L589" s="1386"/>
      <c r="O589" s="33" t="s">
        <v>207</v>
      </c>
      <c r="P589" s="1385"/>
      <c r="Q589" s="1385"/>
      <c r="R589" s="1385"/>
      <c r="T589" s="22"/>
      <c r="U589" t="s">
        <v>317</v>
      </c>
      <c r="Z589" s="1386"/>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2732</v>
      </c>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678</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7">
        <f>C560</f>
        <v>0</v>
      </c>
      <c r="H593" s="1507"/>
      <c r="I593" s="1507"/>
      <c r="J593" s="1507"/>
      <c r="K593" s="1507"/>
      <c r="L593" s="1507"/>
      <c r="M593" s="1507"/>
      <c r="N593" s="1507"/>
      <c r="O593" s="1507"/>
      <c r="P593" s="1507"/>
      <c r="Q593" s="1507"/>
      <c r="R593" s="1507"/>
      <c r="T593" s="55" t="s">
        <v>465</v>
      </c>
      <c r="U593" t="s">
        <v>472</v>
      </c>
      <c r="Z593" s="1507">
        <f>C561</f>
        <v>0</v>
      </c>
      <c r="AA593" s="1507"/>
      <c r="AB593" s="1507"/>
      <c r="AC593" s="1507"/>
      <c r="AD593" s="1507"/>
      <c r="AE593" s="1507"/>
      <c r="AF593" s="1507"/>
      <c r="AG593" s="1507"/>
      <c r="AH593" s="1507"/>
      <c r="AI593" s="1507"/>
      <c r="AJ593" s="1507"/>
      <c r="AK593" s="150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483</v>
      </c>
      <c r="BF596" s="122"/>
      <c r="BG596" s="1398"/>
      <c r="BH596" s="1399"/>
      <c r="BI596" s="121" t="s">
        <v>484</v>
      </c>
      <c r="BJ596" s="122"/>
      <c r="BK596" s="1398"/>
      <c r="BL596" s="1399"/>
      <c r="BM596" s="3"/>
      <c r="BN596" s="1520" t="s">
        <v>642</v>
      </c>
      <c r="BO596" s="1521"/>
      <c r="BP596" s="1521"/>
      <c r="BQ596" s="1521"/>
      <c r="BR596" s="1522"/>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469</v>
      </c>
      <c r="CI596" s="1512"/>
      <c r="CJ596" s="1512"/>
      <c r="CK596" s="1512"/>
      <c r="CL596" s="1512"/>
      <c r="CM596" s="1512" t="s">
        <v>30</v>
      </c>
      <c r="CN596" s="1512"/>
      <c r="CO596" s="1512"/>
      <c r="CP596" s="1512"/>
      <c r="CQ596" s="1512"/>
      <c r="CR596" s="89"/>
      <c r="CS596" s="1512" t="s">
        <v>642</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469</v>
      </c>
      <c r="DN596" s="1512"/>
      <c r="DO596" s="1512"/>
      <c r="DP596" s="1512"/>
      <c r="DQ596" s="1512"/>
      <c r="DR596" s="1512" t="s">
        <v>30</v>
      </c>
      <c r="DS596" s="1512"/>
      <c r="DT596" s="1512"/>
      <c r="DU596" s="1512"/>
      <c r="DV596" s="1512"/>
      <c r="DX596" s="1512" t="s">
        <v>642</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469</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398">
        <f t="shared" ref="BG597:BG631" si="2">IF(BE597=1,G718,0)</f>
        <v>0</v>
      </c>
      <c r="BH597" s="1399"/>
      <c r="BI597" s="1388">
        <f t="shared" ref="BI597:BI631" si="3">IF(AND(AC718&lt;=0.35,AC718&gt;0),1,0)</f>
        <v>1</v>
      </c>
      <c r="BJ597" s="1390"/>
      <c r="BK597" s="1398">
        <f t="shared" ref="BK597:BK631" si="4">IF(BI597=1,G718,0)</f>
        <v>7</v>
      </c>
      <c r="BL597" s="1399"/>
      <c r="BM597" s="3"/>
      <c r="BN597" s="1393">
        <f t="shared" ref="BN597:BN631" si="5">IF(B718="SRO/Studio",G718,0)</f>
        <v>0</v>
      </c>
      <c r="BO597" s="1394"/>
      <c r="BP597" s="1394"/>
      <c r="BQ597" s="1394"/>
      <c r="BR597" s="1395"/>
      <c r="BS597" s="1396">
        <f t="shared" ref="BS597:BS631" si="6">IF(B718="1 Bedroom",G718,0)</f>
        <v>7</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2">
        <f t="shared" ref="CS597:CS631" si="11">IF(AND(B718="SRO/Studio",AC718&lt;=0.3),G718,0)</f>
        <v>0</v>
      </c>
      <c r="CT597" s="1392"/>
      <c r="CU597" s="1392"/>
      <c r="CV597" s="1392"/>
      <c r="CW597" s="1392"/>
      <c r="CX597" s="1392">
        <f t="shared" ref="CX597:CX631" si="12">IF(AND(B718="1 Bedroom",AC718&lt;=0.3),G718,0)</f>
        <v>7</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524</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398">
        <f t="shared" si="2"/>
        <v>9</v>
      </c>
      <c r="BH598" s="1399"/>
      <c r="BI598" s="1388">
        <f t="shared" si="3"/>
        <v>0</v>
      </c>
      <c r="BJ598" s="1390"/>
      <c r="BK598" s="1398">
        <f t="shared" si="4"/>
        <v>0</v>
      </c>
      <c r="BL598" s="1399"/>
      <c r="BM598" s="3"/>
      <c r="BN598" s="1393">
        <f t="shared" si="5"/>
        <v>0</v>
      </c>
      <c r="BO598" s="1394"/>
      <c r="BP598" s="1394"/>
      <c r="BQ598" s="1394"/>
      <c r="BR598" s="1395"/>
      <c r="BS598" s="1396">
        <f t="shared" si="6"/>
        <v>9</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997</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678</v>
      </c>
      <c r="O599" s="1380"/>
      <c r="T599" s="22"/>
      <c r="U599" t="s">
        <v>20</v>
      </c>
      <c r="AG599" s="1380" t="s">
        <v>678</v>
      </c>
      <c r="AH599" s="1380"/>
      <c r="BA599" s="4" t="s">
        <v>164</v>
      </c>
      <c r="BB599" s="3"/>
      <c r="BC599" s="3"/>
      <c r="BD599" s="3"/>
      <c r="BE599" s="1388">
        <f t="shared" si="1"/>
        <v>0</v>
      </c>
      <c r="BF599" s="1390"/>
      <c r="BG599" s="1398">
        <f t="shared" si="2"/>
        <v>0</v>
      </c>
      <c r="BH599" s="1399"/>
      <c r="BI599" s="1388">
        <f t="shared" si="3"/>
        <v>0</v>
      </c>
      <c r="BJ599" s="1390"/>
      <c r="BK599" s="1398">
        <f t="shared" si="4"/>
        <v>0</v>
      </c>
      <c r="BL599" s="1399"/>
      <c r="BM599" s="3"/>
      <c r="BN599" s="1393">
        <f t="shared" si="5"/>
        <v>0</v>
      </c>
      <c r="BO599" s="1394"/>
      <c r="BP599" s="1394"/>
      <c r="BQ599" s="1394"/>
      <c r="BR599" s="1395"/>
      <c r="BS599" s="1396">
        <f t="shared" si="6"/>
        <v>18</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1233</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398">
        <f t="shared" si="2"/>
        <v>0</v>
      </c>
      <c r="BH600" s="1399"/>
      <c r="BI600" s="1388">
        <f t="shared" si="3"/>
        <v>0</v>
      </c>
      <c r="BJ600" s="1390"/>
      <c r="BK600" s="1398">
        <f t="shared" si="4"/>
        <v>0</v>
      </c>
      <c r="BL600" s="1399"/>
      <c r="BM600" s="3"/>
      <c r="BN600" s="1393">
        <f t="shared" si="5"/>
        <v>0</v>
      </c>
      <c r="BO600" s="1394"/>
      <c r="BP600" s="1394"/>
      <c r="BQ600" s="1394"/>
      <c r="BR600" s="1395"/>
      <c r="BS600" s="1396">
        <f t="shared" si="6"/>
        <v>30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1470</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470</v>
      </c>
      <c r="B601" t="s">
        <v>472</v>
      </c>
      <c r="G601" s="1507">
        <f>C562</f>
        <v>0</v>
      </c>
      <c r="H601" s="1507"/>
      <c r="I601" s="1507"/>
      <c r="J601" s="1507"/>
      <c r="K601" s="1507"/>
      <c r="L601" s="1507"/>
      <c r="M601" s="1507"/>
      <c r="N601" s="1507"/>
      <c r="O601" s="1507"/>
      <c r="P601" s="1507"/>
      <c r="Q601" s="1507"/>
      <c r="R601" s="1507"/>
      <c r="T601" s="55" t="s">
        <v>655</v>
      </c>
      <c r="U601" t="s">
        <v>472</v>
      </c>
      <c r="Z601" s="1507">
        <f>C563</f>
        <v>0</v>
      </c>
      <c r="AA601" s="1507"/>
      <c r="AB601" s="1507"/>
      <c r="AC601" s="1507"/>
      <c r="AD601" s="1507"/>
      <c r="AE601" s="1507"/>
      <c r="AF601" s="1507"/>
      <c r="AG601" s="1507"/>
      <c r="AH601" s="1507"/>
      <c r="AI601" s="1507"/>
      <c r="AJ601" s="1507"/>
      <c r="AK601" s="1507"/>
      <c r="BA601" s="4" t="s">
        <v>30</v>
      </c>
      <c r="BB601" s="3"/>
      <c r="BC601" s="3"/>
      <c r="BD601" s="3"/>
      <c r="BE601" s="1388">
        <f t="shared" si="1"/>
        <v>0</v>
      </c>
      <c r="BF601" s="1390"/>
      <c r="BG601" s="1398">
        <f t="shared" si="2"/>
        <v>0</v>
      </c>
      <c r="BH601" s="1399"/>
      <c r="BI601" s="1388">
        <f t="shared" si="3"/>
        <v>1</v>
      </c>
      <c r="BJ601" s="1390"/>
      <c r="BK601" s="1398">
        <f t="shared" si="4"/>
        <v>5</v>
      </c>
      <c r="BL601" s="1399"/>
      <c r="BM601" s="3"/>
      <c r="BN601" s="1393">
        <f t="shared" si="5"/>
        <v>0</v>
      </c>
      <c r="BO601" s="1394"/>
      <c r="BP601" s="1394"/>
      <c r="BQ601" s="1394"/>
      <c r="BR601" s="1395"/>
      <c r="BS601" s="1396">
        <f t="shared" si="6"/>
        <v>0</v>
      </c>
      <c r="BT601" s="1396"/>
      <c r="BU601" s="1396"/>
      <c r="BV601" s="1396"/>
      <c r="BW601" s="1396"/>
      <c r="BX601" s="1396">
        <f t="shared" si="7"/>
        <v>5</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2">
        <f t="shared" si="11"/>
        <v>0</v>
      </c>
      <c r="CT601" s="1392"/>
      <c r="CU601" s="1392"/>
      <c r="CV601" s="1392"/>
      <c r="CW601" s="1392"/>
      <c r="CX601" s="1392">
        <f t="shared" si="12"/>
        <v>0</v>
      </c>
      <c r="CY601" s="1392"/>
      <c r="CZ601" s="1392"/>
      <c r="DA601" s="1392"/>
      <c r="DB601" s="1392"/>
      <c r="DC601" s="1392">
        <f t="shared" si="13"/>
        <v>5</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627</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398">
        <f t="shared" si="2"/>
        <v>7</v>
      </c>
      <c r="BH602" s="1399"/>
      <c r="BI602" s="1388">
        <f t="shared" si="3"/>
        <v>0</v>
      </c>
      <c r="BJ602" s="1390"/>
      <c r="BK602" s="1398">
        <f t="shared" si="4"/>
        <v>0</v>
      </c>
      <c r="BL602" s="1399"/>
      <c r="BM602" s="3"/>
      <c r="BN602" s="1393">
        <f t="shared" si="5"/>
        <v>0</v>
      </c>
      <c r="BO602" s="1394"/>
      <c r="BP602" s="1394"/>
      <c r="BQ602" s="1394"/>
      <c r="BR602" s="1395"/>
      <c r="BS602" s="1396">
        <f t="shared" si="6"/>
        <v>0</v>
      </c>
      <c r="BT602" s="1396"/>
      <c r="BU602" s="1396"/>
      <c r="BV602" s="1396"/>
      <c r="BW602" s="1396"/>
      <c r="BX602" s="1396">
        <f t="shared" si="7"/>
        <v>7</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1194</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54"/>
      <c r="AA603" s="1454"/>
      <c r="AB603" s="1454"/>
      <c r="AC603" s="1454"/>
      <c r="AD603" s="1454"/>
      <c r="AE603" s="1454"/>
      <c r="AF603" s="1454"/>
      <c r="AG603" s="1454"/>
      <c r="AH603" s="1454"/>
      <c r="AI603" s="1454"/>
      <c r="AJ603" s="1454"/>
      <c r="AK603" s="1454"/>
      <c r="AZ603" s="3"/>
      <c r="BA603" s="3"/>
      <c r="BB603" s="3"/>
      <c r="BC603" s="3"/>
      <c r="BD603" s="3"/>
      <c r="BE603" s="1388">
        <f t="shared" si="1"/>
        <v>0</v>
      </c>
      <c r="BF603" s="1390"/>
      <c r="BG603" s="1398">
        <f t="shared" si="2"/>
        <v>0</v>
      </c>
      <c r="BH603" s="1399"/>
      <c r="BI603" s="1388">
        <f t="shared" si="3"/>
        <v>0</v>
      </c>
      <c r="BJ603" s="1390"/>
      <c r="BK603" s="1398">
        <f t="shared" si="4"/>
        <v>0</v>
      </c>
      <c r="BL603" s="1399"/>
      <c r="BM603" s="3"/>
      <c r="BN603" s="1393">
        <f t="shared" si="5"/>
        <v>0</v>
      </c>
      <c r="BO603" s="1394"/>
      <c r="BP603" s="1394"/>
      <c r="BQ603" s="1394"/>
      <c r="BR603" s="1395"/>
      <c r="BS603" s="1396">
        <f t="shared" si="6"/>
        <v>0</v>
      </c>
      <c r="BT603" s="1396"/>
      <c r="BU603" s="1396"/>
      <c r="BV603" s="1396"/>
      <c r="BW603" s="1396"/>
      <c r="BX603" s="1396">
        <f t="shared" si="7"/>
        <v>13</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1478</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388">
        <f t="shared" si="1"/>
        <v>0</v>
      </c>
      <c r="BF604" s="1390"/>
      <c r="BG604" s="1398">
        <f t="shared" si="2"/>
        <v>0</v>
      </c>
      <c r="BH604" s="1399"/>
      <c r="BI604" s="1388">
        <f t="shared" si="3"/>
        <v>0</v>
      </c>
      <c r="BJ604" s="1390"/>
      <c r="BK604" s="1398">
        <f t="shared" si="4"/>
        <v>0</v>
      </c>
      <c r="BL604" s="1399"/>
      <c r="BM604" s="3"/>
      <c r="BN604" s="1393">
        <f t="shared" si="5"/>
        <v>0</v>
      </c>
      <c r="BO604" s="1394"/>
      <c r="BP604" s="1394"/>
      <c r="BQ604" s="1394"/>
      <c r="BR604" s="1395"/>
      <c r="BS604" s="1396">
        <f t="shared" si="6"/>
        <v>0</v>
      </c>
      <c r="BT604" s="1396"/>
      <c r="BU604" s="1396"/>
      <c r="BV604" s="1396"/>
      <c r="BW604" s="1396"/>
      <c r="BX604" s="1396">
        <f t="shared" si="7"/>
        <v>21</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1762</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398">
        <f t="shared" si="2"/>
        <v>0</v>
      </c>
      <c r="BH605" s="1399"/>
      <c r="BI605" s="1388">
        <f t="shared" si="3"/>
        <v>1</v>
      </c>
      <c r="BJ605" s="1390"/>
      <c r="BK605" s="1398">
        <f t="shared" si="4"/>
        <v>2</v>
      </c>
      <c r="BL605" s="1399"/>
      <c r="BM605" s="3"/>
      <c r="BN605" s="1393">
        <f t="shared" si="5"/>
        <v>0</v>
      </c>
      <c r="BO605" s="1394"/>
      <c r="BP605" s="1394"/>
      <c r="BQ605" s="1394"/>
      <c r="BR605" s="1395"/>
      <c r="BS605" s="1396">
        <f t="shared" si="6"/>
        <v>0</v>
      </c>
      <c r="BT605" s="1396"/>
      <c r="BU605" s="1396"/>
      <c r="BV605" s="1396"/>
      <c r="BW605" s="1396"/>
      <c r="BX605" s="1396">
        <f t="shared" si="7"/>
        <v>0</v>
      </c>
      <c r="BY605" s="1396"/>
      <c r="BZ605" s="1396"/>
      <c r="CA605" s="1396"/>
      <c r="CB605" s="1396"/>
      <c r="CC605" s="1396">
        <f t="shared" si="8"/>
        <v>2</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2</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707</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1</v>
      </c>
      <c r="BF606" s="1390"/>
      <c r="BG606" s="1398">
        <f t="shared" si="2"/>
        <v>2</v>
      </c>
      <c r="BH606" s="1399"/>
      <c r="BI606" s="1388">
        <f t="shared" si="3"/>
        <v>0</v>
      </c>
      <c r="BJ606" s="1390"/>
      <c r="BK606" s="1398">
        <f t="shared" si="4"/>
        <v>0</v>
      </c>
      <c r="BL606" s="1399"/>
      <c r="BM606" s="3"/>
      <c r="BN606" s="1393">
        <f t="shared" si="5"/>
        <v>0</v>
      </c>
      <c r="BO606" s="1394"/>
      <c r="BP606" s="1394"/>
      <c r="BQ606" s="1394"/>
      <c r="BR606" s="1395"/>
      <c r="BS606" s="1396">
        <f t="shared" si="6"/>
        <v>0</v>
      </c>
      <c r="BT606" s="1396"/>
      <c r="BU606" s="1396"/>
      <c r="BV606" s="1396"/>
      <c r="BW606" s="1396"/>
      <c r="BX606" s="1396">
        <f t="shared" si="7"/>
        <v>0</v>
      </c>
      <c r="BY606" s="1396"/>
      <c r="BZ606" s="1396"/>
      <c r="CA606" s="1396"/>
      <c r="CB606" s="1396"/>
      <c r="CC606" s="1396">
        <f t="shared" si="8"/>
        <v>2</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f t="shared" si="20"/>
        <v>1363</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398">
        <f t="shared" si="2"/>
        <v>0</v>
      </c>
      <c r="BH607" s="1399"/>
      <c r="BI607" s="1388">
        <f t="shared" si="3"/>
        <v>0</v>
      </c>
      <c r="BJ607" s="1390"/>
      <c r="BK607" s="1398">
        <f t="shared" si="4"/>
        <v>0</v>
      </c>
      <c r="BL607" s="1399"/>
      <c r="BM607" s="3"/>
      <c r="BN607" s="1393">
        <f t="shared" si="5"/>
        <v>0</v>
      </c>
      <c r="BO607" s="1394"/>
      <c r="BP607" s="1394"/>
      <c r="BQ607" s="1394"/>
      <c r="BR607" s="1395"/>
      <c r="BS607" s="1396">
        <f t="shared" si="6"/>
        <v>0</v>
      </c>
      <c r="BT607" s="1396"/>
      <c r="BU607" s="1396"/>
      <c r="BV607" s="1396"/>
      <c r="BW607" s="1396"/>
      <c r="BX607" s="1396">
        <f t="shared" si="7"/>
        <v>0</v>
      </c>
      <c r="BY607" s="1396"/>
      <c r="BZ607" s="1396"/>
      <c r="CA607" s="1396"/>
      <c r="CB607" s="1396"/>
      <c r="CC607" s="1396">
        <f t="shared" si="8"/>
        <v>4</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f t="shared" si="20"/>
        <v>1691</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398">
        <f t="shared" si="2"/>
        <v>0</v>
      </c>
      <c r="BH608" s="1399"/>
      <c r="BI608" s="1388">
        <f t="shared" si="3"/>
        <v>0</v>
      </c>
      <c r="BJ608" s="1390"/>
      <c r="BK608" s="1398">
        <f t="shared" si="4"/>
        <v>0</v>
      </c>
      <c r="BL608" s="1399"/>
      <c r="BM608" s="3"/>
      <c r="BN608" s="1393">
        <f t="shared" si="5"/>
        <v>0</v>
      </c>
      <c r="BO608" s="1394"/>
      <c r="BP608" s="1394"/>
      <c r="BQ608" s="1394"/>
      <c r="BR608" s="1395"/>
      <c r="BS608" s="1396">
        <f t="shared" si="6"/>
        <v>0</v>
      </c>
      <c r="BT608" s="1396"/>
      <c r="BU608" s="1396"/>
      <c r="BV608" s="1396"/>
      <c r="BW608" s="1396"/>
      <c r="BX608" s="1396">
        <f t="shared" si="7"/>
        <v>0</v>
      </c>
      <c r="BY608" s="1396"/>
      <c r="BZ608" s="1396"/>
      <c r="CA608" s="1396"/>
      <c r="CB608" s="1396"/>
      <c r="CC608" s="1396">
        <f t="shared" si="8"/>
        <v>7</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f t="shared" si="20"/>
        <v>2019</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472</v>
      </c>
      <c r="G609" s="1507">
        <f>C564</f>
        <v>0</v>
      </c>
      <c r="H609" s="1507"/>
      <c r="I609" s="1507"/>
      <c r="J609" s="1507"/>
      <c r="K609" s="1507"/>
      <c r="L609" s="1507"/>
      <c r="M609" s="1507"/>
      <c r="N609" s="1507"/>
      <c r="O609" s="1507"/>
      <c r="P609" s="1507"/>
      <c r="Q609" s="1507"/>
      <c r="R609" s="1507"/>
      <c r="T609" s="55" t="s">
        <v>364</v>
      </c>
      <c r="U609" t="s">
        <v>472</v>
      </c>
      <c r="Z609" s="1507">
        <f>C565</f>
        <v>0</v>
      </c>
      <c r="AA609" s="1507"/>
      <c r="AB609" s="1507"/>
      <c r="AC609" s="1507"/>
      <c r="AD609" s="1507"/>
      <c r="AE609" s="1507"/>
      <c r="AF609" s="1507"/>
      <c r="AG609" s="1507"/>
      <c r="AH609" s="1507"/>
      <c r="AI609" s="1507"/>
      <c r="AJ609" s="1507"/>
      <c r="AK609" s="1507"/>
      <c r="AZ609" s="3"/>
      <c r="BA609" s="3"/>
      <c r="BB609" s="3"/>
      <c r="BC609" s="3"/>
      <c r="BD609" s="3"/>
      <c r="BE609" s="1388">
        <f t="shared" si="1"/>
        <v>0</v>
      </c>
      <c r="BF609" s="1390"/>
      <c r="BG609" s="1398">
        <f t="shared" si="2"/>
        <v>0</v>
      </c>
      <c r="BH609" s="1399"/>
      <c r="BI609" s="1388">
        <f t="shared" si="3"/>
        <v>1</v>
      </c>
      <c r="BJ609" s="1390"/>
      <c r="BK609" s="1398">
        <f t="shared" si="4"/>
        <v>5</v>
      </c>
      <c r="BL609" s="1399"/>
      <c r="BM609" s="3"/>
      <c r="BN609" s="1393">
        <f t="shared" si="5"/>
        <v>0</v>
      </c>
      <c r="BO609" s="1394"/>
      <c r="BP609" s="1394"/>
      <c r="BQ609" s="1394"/>
      <c r="BR609" s="1395"/>
      <c r="BS609" s="1396">
        <f t="shared" si="6"/>
        <v>0</v>
      </c>
      <c r="BT609" s="1396"/>
      <c r="BU609" s="1396"/>
      <c r="BV609" s="1396"/>
      <c r="BW609" s="1396"/>
      <c r="BX609" s="1396">
        <f t="shared" si="7"/>
        <v>0</v>
      </c>
      <c r="BY609" s="1396"/>
      <c r="BZ609" s="1396"/>
      <c r="CA609" s="1396"/>
      <c r="CB609" s="1396"/>
      <c r="CC609" s="1396">
        <f t="shared" si="8"/>
        <v>5</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5</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f t="shared" si="20"/>
        <v>707</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1</v>
      </c>
      <c r="BF610" s="1390"/>
      <c r="BG610" s="1398">
        <f t="shared" si="2"/>
        <v>6</v>
      </c>
      <c r="BH610" s="1399"/>
      <c r="BI610" s="1388">
        <f t="shared" si="3"/>
        <v>0</v>
      </c>
      <c r="BJ610" s="1390"/>
      <c r="BK610" s="1398">
        <f t="shared" si="4"/>
        <v>0</v>
      </c>
      <c r="BL610" s="1399"/>
      <c r="BM610" s="3"/>
      <c r="BN610" s="1393">
        <f t="shared" si="5"/>
        <v>0</v>
      </c>
      <c r="BO610" s="1394"/>
      <c r="BP610" s="1394"/>
      <c r="BQ610" s="1394"/>
      <c r="BR610" s="1395"/>
      <c r="BS610" s="1396">
        <f t="shared" si="6"/>
        <v>0</v>
      </c>
      <c r="BT610" s="1396"/>
      <c r="BU610" s="1396"/>
      <c r="BV610" s="1396"/>
      <c r="BW610" s="1396"/>
      <c r="BX610" s="1396">
        <f t="shared" si="7"/>
        <v>0</v>
      </c>
      <c r="BY610" s="1396"/>
      <c r="BZ610" s="1396"/>
      <c r="CA610" s="1396"/>
      <c r="CB610" s="1396"/>
      <c r="CC610" s="1396">
        <f t="shared" si="8"/>
        <v>6</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f t="shared" si="20"/>
        <v>1363</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54"/>
      <c r="AA611" s="1454"/>
      <c r="AB611" s="1454"/>
      <c r="AC611" s="1454"/>
      <c r="AD611" s="1454"/>
      <c r="AE611" s="1454"/>
      <c r="AF611" s="1454"/>
      <c r="AG611" s="1454"/>
      <c r="AH611" s="1454"/>
      <c r="AI611" s="1454"/>
      <c r="AJ611" s="1454"/>
      <c r="AK611" s="1454"/>
      <c r="AZ611" s="3"/>
      <c r="BA611" s="3"/>
      <c r="BB611" s="3"/>
      <c r="BC611" s="3"/>
      <c r="BD611" s="3"/>
      <c r="BE611" s="1388">
        <f t="shared" si="1"/>
        <v>0</v>
      </c>
      <c r="BF611" s="1390"/>
      <c r="BG611" s="1398">
        <f t="shared" si="2"/>
        <v>0</v>
      </c>
      <c r="BH611" s="1399"/>
      <c r="BI611" s="1388">
        <f t="shared" si="3"/>
        <v>0</v>
      </c>
      <c r="BJ611" s="1390"/>
      <c r="BK611" s="1398">
        <f t="shared" si="4"/>
        <v>0</v>
      </c>
      <c r="BL611" s="1399"/>
      <c r="BM611" s="3"/>
      <c r="BN611" s="1393">
        <f t="shared" si="5"/>
        <v>0</v>
      </c>
      <c r="BO611" s="1394"/>
      <c r="BP611" s="1394"/>
      <c r="BQ611" s="1394"/>
      <c r="BR611" s="1395"/>
      <c r="BS611" s="1396">
        <f t="shared" si="6"/>
        <v>0</v>
      </c>
      <c r="BT611" s="1396"/>
      <c r="BU611" s="1396"/>
      <c r="BV611" s="1396"/>
      <c r="BW611" s="1396"/>
      <c r="BX611" s="1396">
        <f t="shared" si="7"/>
        <v>0</v>
      </c>
      <c r="BY611" s="1396"/>
      <c r="BZ611" s="1396"/>
      <c r="CA611" s="1396"/>
      <c r="CB611" s="1396"/>
      <c r="CC611" s="1396">
        <f t="shared" si="8"/>
        <v>11</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f t="shared" si="20"/>
        <v>1691</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54"/>
      <c r="AA612" s="1454"/>
      <c r="AB612" s="1454"/>
      <c r="AC612" s="1454"/>
      <c r="AD612" s="1454"/>
      <c r="AE612" s="1454"/>
      <c r="AF612" s="1454"/>
      <c r="AG612" s="1454"/>
      <c r="AH612" s="1454"/>
      <c r="AI612" s="1454"/>
      <c r="AJ612" s="1454"/>
      <c r="AK612" s="1454"/>
      <c r="AZ612" s="3"/>
      <c r="BA612" s="3"/>
      <c r="BB612" s="3"/>
      <c r="BC612" s="3"/>
      <c r="BD612" s="3"/>
      <c r="BE612" s="1388">
        <f t="shared" si="1"/>
        <v>0</v>
      </c>
      <c r="BF612" s="1390"/>
      <c r="BG612" s="1398">
        <f t="shared" si="2"/>
        <v>0</v>
      </c>
      <c r="BH612" s="1399"/>
      <c r="BI612" s="1388">
        <f t="shared" si="3"/>
        <v>0</v>
      </c>
      <c r="BJ612" s="1390"/>
      <c r="BK612" s="1398">
        <f t="shared" si="4"/>
        <v>0</v>
      </c>
      <c r="BL612" s="1399"/>
      <c r="BM612" s="3"/>
      <c r="BN612" s="1393">
        <f t="shared" si="5"/>
        <v>0</v>
      </c>
      <c r="BO612" s="1394"/>
      <c r="BP612" s="1394"/>
      <c r="BQ612" s="1394"/>
      <c r="BR612" s="1395"/>
      <c r="BS612" s="1396">
        <f t="shared" si="6"/>
        <v>0</v>
      </c>
      <c r="BT612" s="1396"/>
      <c r="BU612" s="1396"/>
      <c r="BV612" s="1396"/>
      <c r="BW612" s="1396"/>
      <c r="BX612" s="1396">
        <f t="shared" si="7"/>
        <v>0</v>
      </c>
      <c r="BY612" s="1396"/>
      <c r="BZ612" s="1396"/>
      <c r="CA612" s="1396"/>
      <c r="CB612" s="1396"/>
      <c r="CC612" s="1396">
        <f t="shared" si="8"/>
        <v>20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f t="shared" si="20"/>
        <v>2019</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398">
        <f t="shared" si="2"/>
        <v>0</v>
      </c>
      <c r="BH613" s="1399"/>
      <c r="BI613" s="1388">
        <f t="shared" si="3"/>
        <v>1</v>
      </c>
      <c r="BJ613" s="1390"/>
      <c r="BK613" s="1398">
        <f t="shared" si="4"/>
        <v>3</v>
      </c>
      <c r="BL613" s="1399"/>
      <c r="BM613" s="3"/>
      <c r="BN613" s="1393">
        <f t="shared" si="5"/>
        <v>0</v>
      </c>
      <c r="BO613" s="1394"/>
      <c r="BP613" s="1394"/>
      <c r="BQ613" s="1394"/>
      <c r="BR613" s="139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3</v>
      </c>
      <c r="CI613" s="1396"/>
      <c r="CJ613" s="1396"/>
      <c r="CK613" s="1396"/>
      <c r="CL613" s="1396"/>
      <c r="CM613" s="1396">
        <f t="shared" si="10"/>
        <v>0</v>
      </c>
      <c r="CN613" s="1396"/>
      <c r="CO613" s="1396"/>
      <c r="CP613" s="1396"/>
      <c r="CQ613" s="1396"/>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3</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f t="shared" si="21"/>
        <v>758</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1</v>
      </c>
      <c r="BF614" s="1390"/>
      <c r="BG614" s="1398">
        <f t="shared" si="2"/>
        <v>3</v>
      </c>
      <c r="BH614" s="1399"/>
      <c r="BI614" s="1388">
        <f t="shared" si="3"/>
        <v>0</v>
      </c>
      <c r="BJ614" s="1390"/>
      <c r="BK614" s="1398">
        <f t="shared" si="4"/>
        <v>0</v>
      </c>
      <c r="BL614" s="1399"/>
      <c r="BM614" s="3"/>
      <c r="BN614" s="1393">
        <f t="shared" si="5"/>
        <v>0</v>
      </c>
      <c r="BO614" s="1394"/>
      <c r="BP614" s="1394"/>
      <c r="BQ614" s="1394"/>
      <c r="BR614" s="139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3</v>
      </c>
      <c r="CI614" s="1396"/>
      <c r="CJ614" s="1396"/>
      <c r="CK614" s="1396"/>
      <c r="CL614" s="1396"/>
      <c r="CM614" s="1396">
        <f t="shared" si="10"/>
        <v>0</v>
      </c>
      <c r="CN614" s="1396"/>
      <c r="CO614" s="1396"/>
      <c r="CP614" s="1396"/>
      <c r="CQ614" s="1396"/>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f t="shared" si="21"/>
        <v>1489</v>
      </c>
      <c r="ES614" s="1389"/>
      <c r="ET614" s="1389"/>
      <c r="EU614" s="1389"/>
      <c r="EV614" s="1390"/>
      <c r="EW614" s="1388" t="str">
        <f t="shared" si="22"/>
        <v/>
      </c>
      <c r="EX614" s="1389"/>
      <c r="EY614" s="1389"/>
      <c r="EZ614" s="1389"/>
      <c r="FA614" s="1390"/>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398">
        <f t="shared" si="2"/>
        <v>0</v>
      </c>
      <c r="BH615" s="1399"/>
      <c r="BI615" s="1388">
        <f t="shared" si="3"/>
        <v>0</v>
      </c>
      <c r="BJ615" s="1390"/>
      <c r="BK615" s="1398">
        <f t="shared" si="4"/>
        <v>0</v>
      </c>
      <c r="BL615" s="1399"/>
      <c r="BM615" s="3"/>
      <c r="BN615" s="1393">
        <f t="shared" si="5"/>
        <v>0</v>
      </c>
      <c r="BO615" s="1394"/>
      <c r="BP615" s="1394"/>
      <c r="BQ615" s="1394"/>
      <c r="BR615" s="139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6</v>
      </c>
      <c r="CI615" s="1396"/>
      <c r="CJ615" s="1396"/>
      <c r="CK615" s="1396"/>
      <c r="CL615" s="1396"/>
      <c r="CM615" s="1396">
        <f t="shared" si="10"/>
        <v>0</v>
      </c>
      <c r="CN615" s="1396"/>
      <c r="CO615" s="1396"/>
      <c r="CP615" s="1396"/>
      <c r="CQ615" s="1396"/>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f t="shared" si="21"/>
        <v>1855</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398">
        <f t="shared" si="2"/>
        <v>0</v>
      </c>
      <c r="BH616" s="1399"/>
      <c r="BI616" s="1388">
        <f t="shared" si="3"/>
        <v>0</v>
      </c>
      <c r="BJ616" s="1390"/>
      <c r="BK616" s="1398">
        <f t="shared" si="4"/>
        <v>0</v>
      </c>
      <c r="BL616" s="1399"/>
      <c r="BM616" s="3"/>
      <c r="BN616" s="1393">
        <f t="shared" si="5"/>
        <v>0</v>
      </c>
      <c r="BO616" s="1394"/>
      <c r="BP616" s="1394"/>
      <c r="BQ616" s="1394"/>
      <c r="BR616" s="139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10</v>
      </c>
      <c r="CI616" s="1396"/>
      <c r="CJ616" s="1396"/>
      <c r="CK616" s="1396"/>
      <c r="CL616" s="1396"/>
      <c r="CM616" s="1396">
        <f t="shared" si="10"/>
        <v>0</v>
      </c>
      <c r="CN616" s="1396"/>
      <c r="CO616" s="1396"/>
      <c r="CP616" s="1396"/>
      <c r="CQ616" s="1396"/>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f t="shared" si="21"/>
        <v>2221</v>
      </c>
      <c r="ES616" s="1389"/>
      <c r="ET616" s="1389"/>
      <c r="EU616" s="1389"/>
      <c r="EV616" s="1390"/>
      <c r="EW616" s="1388" t="str">
        <f t="shared" si="22"/>
        <v/>
      </c>
      <c r="EX616" s="1389"/>
      <c r="EY616" s="1389"/>
      <c r="EZ616" s="1389"/>
      <c r="FA616" s="1390"/>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398">
        <f t="shared" si="2"/>
        <v>0</v>
      </c>
      <c r="BH617" s="1399"/>
      <c r="BI617" s="1388">
        <f t="shared" si="3"/>
        <v>0</v>
      </c>
      <c r="BJ617" s="1390"/>
      <c r="BK617" s="1398">
        <f t="shared" si="4"/>
        <v>0</v>
      </c>
      <c r="BL617" s="1399"/>
      <c r="BM617" s="3"/>
      <c r="BN617" s="1393">
        <f t="shared" si="5"/>
        <v>0</v>
      </c>
      <c r="BO617" s="1394"/>
      <c r="BP617" s="1394"/>
      <c r="BQ617" s="1394"/>
      <c r="BR617" s="139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398">
        <f t="shared" si="2"/>
        <v>0</v>
      </c>
      <c r="BH618" s="1399"/>
      <c r="BI618" s="1388">
        <f t="shared" si="3"/>
        <v>0</v>
      </c>
      <c r="BJ618" s="1390"/>
      <c r="BK618" s="1398">
        <f t="shared" si="4"/>
        <v>0</v>
      </c>
      <c r="BL618" s="1399"/>
      <c r="BM618" s="3"/>
      <c r="BN618" s="1393">
        <f t="shared" si="5"/>
        <v>0</v>
      </c>
      <c r="BO618" s="1394"/>
      <c r="BP618" s="1394"/>
      <c r="BQ618" s="1394"/>
      <c r="BR618" s="139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398">
        <f t="shared" si="2"/>
        <v>0</v>
      </c>
      <c r="BH619" s="1399"/>
      <c r="BI619" s="1388">
        <f t="shared" si="3"/>
        <v>0</v>
      </c>
      <c r="BJ619" s="1390"/>
      <c r="BK619" s="1398">
        <f t="shared" si="4"/>
        <v>0</v>
      </c>
      <c r="BL619" s="1399"/>
      <c r="BM619" s="3"/>
      <c r="BN619" s="1393">
        <f t="shared" si="5"/>
        <v>0</v>
      </c>
      <c r="BO619" s="1394"/>
      <c r="BP619" s="1394"/>
      <c r="BQ619" s="1394"/>
      <c r="BR619" s="139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398">
        <f t="shared" si="2"/>
        <v>0</v>
      </c>
      <c r="BH620" s="1399"/>
      <c r="BI620" s="1388">
        <f t="shared" si="3"/>
        <v>0</v>
      </c>
      <c r="BJ620" s="1390"/>
      <c r="BK620" s="1398">
        <f t="shared" si="4"/>
        <v>0</v>
      </c>
      <c r="BL620" s="1399"/>
      <c r="BM620" s="3"/>
      <c r="BN620" s="1393">
        <f t="shared" si="5"/>
        <v>0</v>
      </c>
      <c r="BO620" s="1394"/>
      <c r="BP620" s="1394"/>
      <c r="BQ620" s="1394"/>
      <c r="BR620" s="139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398">
        <f t="shared" si="2"/>
        <v>0</v>
      </c>
      <c r="BH621" s="1399"/>
      <c r="BI621" s="1388">
        <f t="shared" si="3"/>
        <v>0</v>
      </c>
      <c r="BJ621" s="1390"/>
      <c r="BK621" s="1398">
        <f t="shared" si="4"/>
        <v>0</v>
      </c>
      <c r="BL621" s="1399"/>
      <c r="BM621" s="3"/>
      <c r="BN621" s="1393">
        <f t="shared" si="5"/>
        <v>0</v>
      </c>
      <c r="BO621" s="1394"/>
      <c r="BP621" s="1394"/>
      <c r="BQ621" s="1394"/>
      <c r="BR621" s="1395"/>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2417</v>
      </c>
      <c r="AZ622" s="3"/>
      <c r="BA622" s="3"/>
      <c r="BB622" s="3"/>
      <c r="BC622" s="3"/>
      <c r="BD622" s="3"/>
      <c r="BE622" s="1388">
        <f t="shared" si="1"/>
        <v>0</v>
      </c>
      <c r="BF622" s="1390"/>
      <c r="BG622" s="1398">
        <f t="shared" si="2"/>
        <v>0</v>
      </c>
      <c r="BH622" s="1399"/>
      <c r="BI622" s="1388">
        <f t="shared" si="3"/>
        <v>0</v>
      </c>
      <c r="BJ622" s="1390"/>
      <c r="BK622" s="1398">
        <f t="shared" si="4"/>
        <v>0</v>
      </c>
      <c r="BL622" s="1399"/>
      <c r="BM622" s="3"/>
      <c r="BN622" s="1393">
        <f t="shared" si="5"/>
        <v>0</v>
      </c>
      <c r="BO622" s="1394"/>
      <c r="BP622" s="1394"/>
      <c r="BQ622" s="1394"/>
      <c r="BR622" s="1395"/>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398">
        <f t="shared" si="2"/>
        <v>0</v>
      </c>
      <c r="BH623" s="1399"/>
      <c r="BI623" s="1388">
        <f t="shared" si="3"/>
        <v>0</v>
      </c>
      <c r="BJ623" s="1390"/>
      <c r="BK623" s="1398">
        <f t="shared" si="4"/>
        <v>0</v>
      </c>
      <c r="BL623" s="1399"/>
      <c r="BM623" s="3"/>
      <c r="BN623" s="1393">
        <f t="shared" si="5"/>
        <v>0</v>
      </c>
      <c r="BO623" s="1394"/>
      <c r="BP623" s="1394"/>
      <c r="BQ623" s="1394"/>
      <c r="BR623" s="1395"/>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8" t="s">
        <v>2419</v>
      </c>
      <c r="C624" s="1848"/>
      <c r="D624" s="1848"/>
      <c r="E624" s="1848"/>
      <c r="F624" s="1848"/>
      <c r="G624" s="1848"/>
      <c r="H624" s="1848"/>
      <c r="I624" s="1848"/>
      <c r="J624" s="1848"/>
      <c r="K624" s="1848"/>
      <c r="L624" s="1848"/>
      <c r="M624" s="1721" t="s">
        <v>2420</v>
      </c>
      <c r="N624" s="1721"/>
      <c r="O624" s="1721"/>
      <c r="P624" s="1721"/>
      <c r="Q624" s="1721" t="s">
        <v>2045</v>
      </c>
      <c r="R624" s="1721"/>
      <c r="S624" s="1721"/>
      <c r="T624" s="1721" t="s">
        <v>2043</v>
      </c>
      <c r="U624" s="1721"/>
      <c r="V624" s="1721"/>
      <c r="W624" s="1850" t="s">
        <v>462</v>
      </c>
      <c r="X624" s="1850"/>
      <c r="Y624" s="1850"/>
      <c r="Z624" s="1420" t="s">
        <v>2449</v>
      </c>
      <c r="AA624" s="1420"/>
      <c r="AB624" s="1421"/>
      <c r="AC624" s="1709" t="s">
        <v>1866</v>
      </c>
      <c r="AD624" s="1710"/>
      <c r="AE624" s="1711"/>
      <c r="AF624" s="1419" t="s">
        <v>2228</v>
      </c>
      <c r="AG624" s="1420"/>
      <c r="AH624" s="1420"/>
      <c r="AI624" s="1420"/>
      <c r="AJ624" s="1421"/>
      <c r="AK624" s="1761" t="s">
        <v>2229</v>
      </c>
      <c r="AL624" s="1762"/>
      <c r="AM624" s="1762"/>
      <c r="AN624" s="1763"/>
      <c r="AO624" s="1721" t="s">
        <v>463</v>
      </c>
      <c r="AP624" s="1721"/>
      <c r="AQ624" s="1721"/>
      <c r="AR624" s="1721"/>
      <c r="AS624" s="1721"/>
      <c r="AU624" s="3"/>
      <c r="AZ624" s="3"/>
      <c r="BA624" s="3"/>
      <c r="BB624" s="3"/>
      <c r="BC624" s="3"/>
      <c r="BD624" s="3"/>
      <c r="BE624" s="1388">
        <f t="shared" si="1"/>
        <v>0</v>
      </c>
      <c r="BF624" s="1390"/>
      <c r="BG624" s="1398">
        <f t="shared" si="2"/>
        <v>0</v>
      </c>
      <c r="BH624" s="1399"/>
      <c r="BI624" s="1388">
        <f t="shared" si="3"/>
        <v>0</v>
      </c>
      <c r="BJ624" s="1390"/>
      <c r="BK624" s="1398">
        <f t="shared" si="4"/>
        <v>0</v>
      </c>
      <c r="BL624" s="1399"/>
      <c r="BM624" s="3"/>
      <c r="BN624" s="1393">
        <f t="shared" si="5"/>
        <v>0</v>
      </c>
      <c r="BO624" s="1394"/>
      <c r="BP624" s="1394"/>
      <c r="BQ624" s="1394"/>
      <c r="BR624" s="1395"/>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8"/>
      <c r="C625" s="1848"/>
      <c r="D625" s="1848"/>
      <c r="E625" s="1848"/>
      <c r="F625" s="1848"/>
      <c r="G625" s="1848"/>
      <c r="H625" s="1848"/>
      <c r="I625" s="1848"/>
      <c r="J625" s="1848"/>
      <c r="K625" s="1848"/>
      <c r="L625" s="1848"/>
      <c r="M625" s="1721"/>
      <c r="N625" s="1721"/>
      <c r="O625" s="1721"/>
      <c r="P625" s="1721"/>
      <c r="Q625" s="1721"/>
      <c r="R625" s="1721"/>
      <c r="S625" s="1721"/>
      <c r="T625" s="1721"/>
      <c r="U625" s="1721"/>
      <c r="V625" s="1721"/>
      <c r="W625" s="1850"/>
      <c r="X625" s="1850"/>
      <c r="Y625" s="1850"/>
      <c r="Z625" s="1423"/>
      <c r="AA625" s="1423"/>
      <c r="AB625" s="1424"/>
      <c r="AC625" s="1712"/>
      <c r="AD625" s="1713"/>
      <c r="AE625" s="1714"/>
      <c r="AF625" s="1422"/>
      <c r="AG625" s="1423"/>
      <c r="AH625" s="1423"/>
      <c r="AI625" s="1423"/>
      <c r="AJ625" s="1424"/>
      <c r="AK625" s="1764"/>
      <c r="AL625" s="1765"/>
      <c r="AM625" s="1765"/>
      <c r="AN625" s="1766"/>
      <c r="AO625" s="1721"/>
      <c r="AP625" s="1721"/>
      <c r="AQ625" s="1721"/>
      <c r="AR625" s="1721"/>
      <c r="AS625" s="1721"/>
      <c r="AU625" s="3"/>
      <c r="AZ625" s="3"/>
      <c r="BA625" s="3"/>
      <c r="BB625" s="3"/>
      <c r="BC625" s="3"/>
      <c r="BD625" s="3"/>
      <c r="BE625" s="1388">
        <f t="shared" si="1"/>
        <v>0</v>
      </c>
      <c r="BF625" s="1390"/>
      <c r="BG625" s="1398">
        <f t="shared" si="2"/>
        <v>0</v>
      </c>
      <c r="BH625" s="1399"/>
      <c r="BI625" s="1388">
        <f t="shared" si="3"/>
        <v>0</v>
      </c>
      <c r="BJ625" s="1390"/>
      <c r="BK625" s="1398">
        <f t="shared" si="4"/>
        <v>0</v>
      </c>
      <c r="BL625" s="1399"/>
      <c r="BM625" s="3"/>
      <c r="BN625" s="1393">
        <f t="shared" si="5"/>
        <v>0</v>
      </c>
      <c r="BO625" s="1394"/>
      <c r="BP625" s="1394"/>
      <c r="BQ625" s="1394"/>
      <c r="BR625" s="1395"/>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8"/>
      <c r="C626" s="1848"/>
      <c r="D626" s="1848"/>
      <c r="E626" s="1848"/>
      <c r="F626" s="1848"/>
      <c r="G626" s="1848"/>
      <c r="H626" s="1848"/>
      <c r="I626" s="1848"/>
      <c r="J626" s="1848"/>
      <c r="K626" s="1848"/>
      <c r="L626" s="1848"/>
      <c r="M626" s="1721"/>
      <c r="N626" s="1721"/>
      <c r="O626" s="1721"/>
      <c r="P626" s="1721"/>
      <c r="Q626" s="1721"/>
      <c r="R626" s="1721"/>
      <c r="S626" s="1721"/>
      <c r="T626" s="1721"/>
      <c r="U626" s="1721"/>
      <c r="V626" s="1721"/>
      <c r="W626" s="1850"/>
      <c r="X626" s="1850"/>
      <c r="Y626" s="1850"/>
      <c r="Z626" s="1426"/>
      <c r="AA626" s="1426"/>
      <c r="AB626" s="1427"/>
      <c r="AC626" s="1715"/>
      <c r="AD626" s="1716"/>
      <c r="AE626" s="1717"/>
      <c r="AF626" s="1425"/>
      <c r="AG626" s="1426"/>
      <c r="AH626" s="1426"/>
      <c r="AI626" s="1426"/>
      <c r="AJ626" s="1427"/>
      <c r="AK626" s="1767"/>
      <c r="AL626" s="1768"/>
      <c r="AM626" s="1768"/>
      <c r="AN626" s="1769"/>
      <c r="AO626" s="1721"/>
      <c r="AP626" s="1721"/>
      <c r="AQ626" s="1721"/>
      <c r="AR626" s="1721"/>
      <c r="AS626" s="1721"/>
      <c r="AT626" s="3"/>
      <c r="AU626" s="3"/>
      <c r="AZ626" s="3"/>
      <c r="BA626" s="3"/>
      <c r="BB626" s="3"/>
      <c r="BC626" s="3"/>
      <c r="BD626" s="3"/>
      <c r="BE626" s="1388">
        <f t="shared" si="1"/>
        <v>0</v>
      </c>
      <c r="BF626" s="1390"/>
      <c r="BG626" s="1398">
        <f t="shared" si="2"/>
        <v>0</v>
      </c>
      <c r="BH626" s="1399"/>
      <c r="BI626" s="1388">
        <f t="shared" si="3"/>
        <v>0</v>
      </c>
      <c r="BJ626" s="1390"/>
      <c r="BK626" s="1398">
        <f t="shared" si="4"/>
        <v>0</v>
      </c>
      <c r="BL626" s="1399"/>
      <c r="BM626" s="3"/>
      <c r="BN626" s="1393">
        <f t="shared" si="5"/>
        <v>0</v>
      </c>
      <c r="BO626" s="1394"/>
      <c r="BP626" s="1394"/>
      <c r="BQ626" s="1394"/>
      <c r="BR626" s="1395"/>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04" t="s">
        <v>2743</v>
      </c>
      <c r="D627" s="1704"/>
      <c r="E627" s="1704"/>
      <c r="F627" s="1704"/>
      <c r="G627" s="1704"/>
      <c r="H627" s="1704"/>
      <c r="I627" s="1704"/>
      <c r="J627" s="1704"/>
      <c r="K627" s="1704"/>
      <c r="L627" s="1704"/>
      <c r="M627" s="1706" t="s">
        <v>2436</v>
      </c>
      <c r="N627" s="1706"/>
      <c r="O627" s="1706"/>
      <c r="P627" s="1706"/>
      <c r="Q627" s="1557">
        <v>204</v>
      </c>
      <c r="R627" s="1557"/>
      <c r="S627" s="1708"/>
      <c r="T627" s="1707">
        <v>480</v>
      </c>
      <c r="U627" s="1557"/>
      <c r="V627" s="1708"/>
      <c r="W627" s="1589">
        <v>6.6100000000000006E-2</v>
      </c>
      <c r="X627" s="1590"/>
      <c r="Y627" s="1591"/>
      <c r="Z627" s="1509" t="s">
        <v>2448</v>
      </c>
      <c r="AA627" s="1510"/>
      <c r="AB627" s="1511"/>
      <c r="AC627" s="1406">
        <v>1</v>
      </c>
      <c r="AD627" s="1407"/>
      <c r="AE627" s="1408"/>
      <c r="AF627" s="1583">
        <v>2029123</v>
      </c>
      <c r="AG627" s="1584"/>
      <c r="AH627" s="1584"/>
      <c r="AI627" s="1584"/>
      <c r="AJ627" s="1585"/>
      <c r="AK627" s="1718"/>
      <c r="AL627" s="1719"/>
      <c r="AM627" s="1719"/>
      <c r="AN627" s="1720"/>
      <c r="AO627" s="1612">
        <v>28500000</v>
      </c>
      <c r="AP627" s="1612"/>
      <c r="AQ627" s="1612"/>
      <c r="AR627" s="1612"/>
      <c r="AS627" s="1612"/>
      <c r="AT627" s="3"/>
      <c r="AU627" s="3"/>
      <c r="AZ627" s="3"/>
      <c r="BA627" s="3"/>
      <c r="BB627" s="3"/>
      <c r="BC627" s="3"/>
      <c r="BD627" s="3"/>
      <c r="BE627" s="1388">
        <f t="shared" si="1"/>
        <v>0</v>
      </c>
      <c r="BF627" s="1390"/>
      <c r="BG627" s="1398">
        <f t="shared" si="2"/>
        <v>0</v>
      </c>
      <c r="BH627" s="1399"/>
      <c r="BI627" s="1388">
        <f t="shared" si="3"/>
        <v>0</v>
      </c>
      <c r="BJ627" s="1390"/>
      <c r="BK627" s="1398">
        <f t="shared" si="4"/>
        <v>0</v>
      </c>
      <c r="BL627" s="1399"/>
      <c r="BM627" s="3"/>
      <c r="BN627" s="1393">
        <f t="shared" si="5"/>
        <v>0</v>
      </c>
      <c r="BO627" s="1394"/>
      <c r="BP627" s="1394"/>
      <c r="BQ627" s="1394"/>
      <c r="BR627" s="1395"/>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04" t="s">
        <v>2744</v>
      </c>
      <c r="D628" s="1704"/>
      <c r="E628" s="1704"/>
      <c r="F628" s="1704"/>
      <c r="G628" s="1704"/>
      <c r="H628" s="1704"/>
      <c r="I628" s="1704"/>
      <c r="J628" s="1704"/>
      <c r="K628" s="1704"/>
      <c r="L628" s="1704"/>
      <c r="M628" s="1706" t="s">
        <v>2432</v>
      </c>
      <c r="N628" s="1706"/>
      <c r="O628" s="1706"/>
      <c r="P628" s="1706"/>
      <c r="Q628" s="1707">
        <v>180</v>
      </c>
      <c r="R628" s="1557"/>
      <c r="S628" s="1708"/>
      <c r="T628" s="1707"/>
      <c r="U628" s="1557"/>
      <c r="V628" s="1708"/>
      <c r="W628" s="1589">
        <v>0.03</v>
      </c>
      <c r="X628" s="1590"/>
      <c r="Y628" s="1591"/>
      <c r="Z628" s="1509" t="s">
        <v>466</v>
      </c>
      <c r="AA628" s="1510"/>
      <c r="AB628" s="1511"/>
      <c r="AC628" s="1406">
        <v>2</v>
      </c>
      <c r="AD628" s="1407"/>
      <c r="AE628" s="1408"/>
      <c r="AF628" s="1583"/>
      <c r="AG628" s="1584"/>
      <c r="AH628" s="1584"/>
      <c r="AI628" s="1584"/>
      <c r="AJ628" s="1585"/>
      <c r="AK628" s="1718"/>
      <c r="AL628" s="1719"/>
      <c r="AM628" s="1719"/>
      <c r="AN628" s="1720"/>
      <c r="AO628" s="1576">
        <v>1600000</v>
      </c>
      <c r="AP628" s="1577"/>
      <c r="AQ628" s="1577"/>
      <c r="AR628" s="1577"/>
      <c r="AS628" s="1578"/>
      <c r="AT628" s="1192" t="str">
        <f>IF(AND(NOT(C627=""),C628="",NOT(C629="")),"!","")</f>
        <v/>
      </c>
      <c r="AU628" s="3"/>
      <c r="AZ628" s="3"/>
      <c r="BA628" s="3"/>
      <c r="BB628" s="3"/>
      <c r="BC628" s="3"/>
      <c r="BD628" s="3"/>
      <c r="BE628" s="1388">
        <f t="shared" si="1"/>
        <v>0</v>
      </c>
      <c r="BF628" s="1390"/>
      <c r="BG628" s="1398">
        <f t="shared" si="2"/>
        <v>0</v>
      </c>
      <c r="BH628" s="1399"/>
      <c r="BI628" s="1388">
        <f t="shared" si="3"/>
        <v>0</v>
      </c>
      <c r="BJ628" s="1390"/>
      <c r="BK628" s="1398">
        <f t="shared" si="4"/>
        <v>0</v>
      </c>
      <c r="BL628" s="1399"/>
      <c r="BM628" s="3"/>
      <c r="BN628" s="1393">
        <f t="shared" si="5"/>
        <v>0</v>
      </c>
      <c r="BO628" s="1394"/>
      <c r="BP628" s="1394"/>
      <c r="BQ628" s="1394"/>
      <c r="BR628" s="1395"/>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04" t="s">
        <v>1852</v>
      </c>
      <c r="D629" s="1704"/>
      <c r="E629" s="1704"/>
      <c r="F629" s="1704"/>
      <c r="G629" s="1704"/>
      <c r="H629" s="1704"/>
      <c r="I629" s="1704"/>
      <c r="J629" s="1704"/>
      <c r="K629" s="1704"/>
      <c r="L629" s="1704"/>
      <c r="M629" s="1706" t="s">
        <v>2423</v>
      </c>
      <c r="N629" s="1706"/>
      <c r="O629" s="1706"/>
      <c r="P629" s="1706"/>
      <c r="Q629" s="1707">
        <v>180</v>
      </c>
      <c r="R629" s="1557"/>
      <c r="S629" s="1708"/>
      <c r="T629" s="1707"/>
      <c r="U629" s="1557"/>
      <c r="V629" s="1708"/>
      <c r="W629" s="1589"/>
      <c r="X629" s="1590"/>
      <c r="Y629" s="1591"/>
      <c r="Z629" s="1509" t="s">
        <v>466</v>
      </c>
      <c r="AA629" s="1510"/>
      <c r="AB629" s="1511"/>
      <c r="AC629" s="1406"/>
      <c r="AD629" s="1407"/>
      <c r="AE629" s="1408"/>
      <c r="AF629" s="1583"/>
      <c r="AG629" s="1584"/>
      <c r="AH629" s="1584"/>
      <c r="AI629" s="1584"/>
      <c r="AJ629" s="1585"/>
      <c r="AK629" s="1718"/>
      <c r="AL629" s="1719"/>
      <c r="AM629" s="1719"/>
      <c r="AN629" s="1720"/>
      <c r="AO629" s="1576">
        <f>4500000+271706+200000-97+258139+28843-59000+97</f>
        <v>5199688</v>
      </c>
      <c r="AP629" s="1577"/>
      <c r="AQ629" s="1577"/>
      <c r="AR629" s="1577"/>
      <c r="AS629" s="1578"/>
      <c r="AT629" s="1192" t="str">
        <f t="shared" ref="AT629:AT638" si="23">IF(AND(NOT(C628=""),C629="",NOT(C630="")),"!","")</f>
        <v/>
      </c>
      <c r="AU629" s="3"/>
      <c r="AZ629" s="3"/>
      <c r="BA629" s="3"/>
      <c r="BB629" s="3"/>
      <c r="BC629" s="3"/>
      <c r="BD629" s="3"/>
      <c r="BE629" s="1388">
        <f t="shared" si="1"/>
        <v>0</v>
      </c>
      <c r="BF629" s="1390"/>
      <c r="BG629" s="1398">
        <f t="shared" si="2"/>
        <v>0</v>
      </c>
      <c r="BH629" s="1399"/>
      <c r="BI629" s="1388">
        <f t="shared" si="3"/>
        <v>0</v>
      </c>
      <c r="BJ629" s="1390"/>
      <c r="BK629" s="1398">
        <f t="shared" si="4"/>
        <v>0</v>
      </c>
      <c r="BL629" s="1399"/>
      <c r="BM629" s="3"/>
      <c r="BN629" s="1393">
        <f t="shared" si="5"/>
        <v>0</v>
      </c>
      <c r="BO629" s="1394"/>
      <c r="BP629" s="1394"/>
      <c r="BQ629" s="1394"/>
      <c r="BR629" s="1395"/>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590</v>
      </c>
      <c r="C630" s="1705" t="s">
        <v>2745</v>
      </c>
      <c r="D630" s="1705"/>
      <c r="E630" s="1705"/>
      <c r="F630" s="1705"/>
      <c r="G630" s="1705"/>
      <c r="H630" s="1705"/>
      <c r="I630" s="1705"/>
      <c r="J630" s="1705"/>
      <c r="K630" s="1705"/>
      <c r="L630" s="1705"/>
      <c r="M630" s="1706" t="s">
        <v>2427</v>
      </c>
      <c r="N630" s="1706"/>
      <c r="O630" s="1706"/>
      <c r="P630" s="1706"/>
      <c r="Q630" s="1707"/>
      <c r="R630" s="1557"/>
      <c r="S630" s="1708"/>
      <c r="T630" s="1707"/>
      <c r="U630" s="1557"/>
      <c r="V630" s="1708"/>
      <c r="W630" s="1589"/>
      <c r="X630" s="1590"/>
      <c r="Y630" s="1591"/>
      <c r="Z630" s="1509" t="s">
        <v>1291</v>
      </c>
      <c r="AA630" s="1510"/>
      <c r="AB630" s="1511"/>
      <c r="AC630" s="1406"/>
      <c r="AD630" s="1407"/>
      <c r="AE630" s="1408"/>
      <c r="AF630" s="1583"/>
      <c r="AG630" s="1584"/>
      <c r="AH630" s="1584"/>
      <c r="AI630" s="1584"/>
      <c r="AJ630" s="1585"/>
      <c r="AK630" s="1718"/>
      <c r="AL630" s="1719"/>
      <c r="AM630" s="1719"/>
      <c r="AN630" s="1720"/>
      <c r="AO630" s="1576">
        <v>484500</v>
      </c>
      <c r="AP630" s="1577"/>
      <c r="AQ630" s="1577"/>
      <c r="AR630" s="1577"/>
      <c r="AS630" s="1578"/>
      <c r="AT630" s="1192" t="str">
        <f t="shared" si="23"/>
        <v/>
      </c>
      <c r="AU630" s="3"/>
      <c r="AZ630" s="3"/>
      <c r="BA630" s="3"/>
      <c r="BB630" s="3"/>
      <c r="BC630" s="3"/>
      <c r="BD630" s="3"/>
      <c r="BE630" s="1388">
        <f t="shared" si="1"/>
        <v>0</v>
      </c>
      <c r="BF630" s="1390"/>
      <c r="BG630" s="1398">
        <f t="shared" si="2"/>
        <v>0</v>
      </c>
      <c r="BH630" s="1399"/>
      <c r="BI630" s="1388">
        <f t="shared" si="3"/>
        <v>0</v>
      </c>
      <c r="BJ630" s="1390"/>
      <c r="BK630" s="1398">
        <f t="shared" si="4"/>
        <v>0</v>
      </c>
      <c r="BL630" s="1399"/>
      <c r="BM630" s="3"/>
      <c r="BN630" s="1393">
        <f t="shared" si="5"/>
        <v>0</v>
      </c>
      <c r="BO630" s="1394"/>
      <c r="BP630" s="1394"/>
      <c r="BQ630" s="1394"/>
      <c r="BR630" s="1395"/>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773</v>
      </c>
      <c r="C631" s="1705"/>
      <c r="D631" s="1705"/>
      <c r="E631" s="1705"/>
      <c r="F631" s="1705"/>
      <c r="G631" s="1705"/>
      <c r="H631" s="1705"/>
      <c r="I631" s="1705"/>
      <c r="J631" s="1705"/>
      <c r="K631" s="1705"/>
      <c r="L631" s="1705"/>
      <c r="M631" s="1706" t="s">
        <v>1291</v>
      </c>
      <c r="N631" s="1706"/>
      <c r="O631" s="1706"/>
      <c r="P631" s="1706"/>
      <c r="Q631" s="1707"/>
      <c r="R631" s="1557"/>
      <c r="S631" s="1708"/>
      <c r="T631" s="1707"/>
      <c r="U631" s="1557"/>
      <c r="V631" s="1708"/>
      <c r="W631" s="1589"/>
      <c r="X631" s="1590"/>
      <c r="Y631" s="1591"/>
      <c r="Z631" s="1509" t="s">
        <v>1291</v>
      </c>
      <c r="AA631" s="1510"/>
      <c r="AB631" s="1511"/>
      <c r="AC631" s="1406"/>
      <c r="AD631" s="1407"/>
      <c r="AE631" s="1408"/>
      <c r="AF631" s="1583"/>
      <c r="AG631" s="1584"/>
      <c r="AH631" s="1584"/>
      <c r="AI631" s="1584"/>
      <c r="AJ631" s="1585"/>
      <c r="AK631" s="1718"/>
      <c r="AL631" s="1719"/>
      <c r="AM631" s="1719"/>
      <c r="AN631" s="1720"/>
      <c r="AO631" s="1576"/>
      <c r="AP631" s="1577"/>
      <c r="AQ631" s="1577"/>
      <c r="AR631" s="1577"/>
      <c r="AS631" s="1578"/>
      <c r="AT631" s="1192" t="str">
        <f t="shared" si="23"/>
        <v/>
      </c>
      <c r="AU631" s="3"/>
      <c r="AZ631" s="3"/>
      <c r="BA631" s="3"/>
      <c r="BB631" s="3"/>
      <c r="BC631" s="3"/>
      <c r="BD631" s="3"/>
      <c r="BE631" s="1388">
        <f t="shared" si="1"/>
        <v>0</v>
      </c>
      <c r="BF631" s="1390"/>
      <c r="BG631" s="1398">
        <f t="shared" si="2"/>
        <v>0</v>
      </c>
      <c r="BH631" s="1399"/>
      <c r="BI631" s="1388">
        <f t="shared" si="3"/>
        <v>0</v>
      </c>
      <c r="BJ631" s="1390"/>
      <c r="BK631" s="1398">
        <f t="shared" si="4"/>
        <v>0</v>
      </c>
      <c r="BL631" s="1399"/>
      <c r="BM631" s="3"/>
      <c r="BN631" s="1393">
        <f t="shared" si="5"/>
        <v>0</v>
      </c>
      <c r="BO631" s="1394"/>
      <c r="BP631" s="1394"/>
      <c r="BQ631" s="1394"/>
      <c r="BR631" s="1395"/>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593</v>
      </c>
      <c r="C632" s="1705"/>
      <c r="D632" s="1705"/>
      <c r="E632" s="1705"/>
      <c r="F632" s="1705"/>
      <c r="G632" s="1705"/>
      <c r="H632" s="1705"/>
      <c r="I632" s="1705"/>
      <c r="J632" s="1705"/>
      <c r="K632" s="1705"/>
      <c r="L632" s="1705"/>
      <c r="M632" s="1706" t="s">
        <v>1291</v>
      </c>
      <c r="N632" s="1706"/>
      <c r="O632" s="1706"/>
      <c r="P632" s="1706"/>
      <c r="Q632" s="1707"/>
      <c r="R632" s="1557"/>
      <c r="S632" s="1708"/>
      <c r="T632" s="1707"/>
      <c r="U632" s="1557"/>
      <c r="V632" s="1708"/>
      <c r="W632" s="1589"/>
      <c r="X632" s="1590"/>
      <c r="Y632" s="1591"/>
      <c r="Z632" s="1509" t="s">
        <v>1291</v>
      </c>
      <c r="AA632" s="1510"/>
      <c r="AB632" s="1511"/>
      <c r="AC632" s="1406"/>
      <c r="AD632" s="1407"/>
      <c r="AE632" s="1408"/>
      <c r="AF632" s="1583"/>
      <c r="AG632" s="1584"/>
      <c r="AH632" s="1584"/>
      <c r="AI632" s="1584"/>
      <c r="AJ632" s="1585"/>
      <c r="AK632" s="1718"/>
      <c r="AL632" s="1719"/>
      <c r="AM632" s="1719"/>
      <c r="AN632" s="1720"/>
      <c r="AO632" s="1576"/>
      <c r="AP632" s="1577"/>
      <c r="AQ632" s="1577"/>
      <c r="AR632" s="1577"/>
      <c r="AS632" s="1578"/>
      <c r="AT632" s="1192" t="str">
        <f t="shared" si="23"/>
        <v/>
      </c>
      <c r="AU632" s="3"/>
      <c r="AZ632" s="3"/>
      <c r="BA632" s="3"/>
      <c r="BB632" s="3"/>
      <c r="BC632" s="3"/>
      <c r="BD632" s="3"/>
      <c r="BE632" s="3"/>
      <c r="BF632" s="3"/>
      <c r="BG632" s="1388">
        <f>SUM(BG597:BH631)</f>
        <v>27</v>
      </c>
      <c r="BH632" s="1390"/>
      <c r="BI632" s="3"/>
      <c r="BJ632" s="3"/>
      <c r="BK632" s="1388">
        <f>SUM(BK597:BL631)</f>
        <v>22</v>
      </c>
      <c r="BL632" s="1390"/>
      <c r="BM632" s="3"/>
      <c r="BN632" s="1388">
        <f>SUM(BN597:BR631)</f>
        <v>0</v>
      </c>
      <c r="BO632" s="1389"/>
      <c r="BP632" s="1389"/>
      <c r="BQ632" s="1389"/>
      <c r="BR632" s="1390"/>
      <c r="BS632" s="1391">
        <f>SUM(BS597:BW631)</f>
        <v>64</v>
      </c>
      <c r="BT632" s="1391"/>
      <c r="BU632" s="1391"/>
      <c r="BV632" s="1391"/>
      <c r="BW632" s="1391"/>
      <c r="BX632" s="1391">
        <f>SUM(BX597:CB631)</f>
        <v>46</v>
      </c>
      <c r="BY632" s="1391"/>
      <c r="BZ632" s="1391"/>
      <c r="CA632" s="1391"/>
      <c r="CB632" s="1391"/>
      <c r="CC632" s="1391">
        <f>SUM(CC597:CG631)</f>
        <v>57</v>
      </c>
      <c r="CD632" s="1391"/>
      <c r="CE632" s="1391"/>
      <c r="CF632" s="1391"/>
      <c r="CG632" s="1391"/>
      <c r="CH632" s="1391">
        <f>SUM(CH597:CL631)</f>
        <v>22</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7</v>
      </c>
      <c r="CY632" s="1391"/>
      <c r="CZ632" s="1391"/>
      <c r="DA632" s="1391"/>
      <c r="DB632" s="1391"/>
      <c r="DC632" s="1391">
        <f>SUM(DC597:DG631)</f>
        <v>5</v>
      </c>
      <c r="DD632" s="1391"/>
      <c r="DE632" s="1391"/>
      <c r="DF632" s="1391"/>
      <c r="DG632" s="1391"/>
      <c r="DH632" s="1391">
        <f>SUM(DH597:DL631)</f>
        <v>7</v>
      </c>
      <c r="DI632" s="1391"/>
      <c r="DJ632" s="1391"/>
      <c r="DK632" s="1391"/>
      <c r="DL632" s="1391"/>
      <c r="DM632" s="1391">
        <f>SUM(DM597:DQ631)</f>
        <v>3</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4224</v>
      </c>
      <c r="ED632" s="1391"/>
      <c r="EE632" s="1391"/>
      <c r="EF632" s="1391"/>
      <c r="EG632" s="1391"/>
      <c r="EH632" s="1391">
        <f>SUM(EH597:EL631)</f>
        <v>5061</v>
      </c>
      <c r="EI632" s="1391"/>
      <c r="EJ632" s="1391"/>
      <c r="EK632" s="1391"/>
      <c r="EL632" s="1391"/>
      <c r="EM632" s="1391">
        <f>SUM(EM597:EQ631)</f>
        <v>11560</v>
      </c>
      <c r="EN632" s="1391"/>
      <c r="EO632" s="1391"/>
      <c r="EP632" s="1391"/>
      <c r="EQ632" s="1391"/>
      <c r="ER632" s="1391">
        <f>SUM(ER597:EV631)</f>
        <v>6323</v>
      </c>
      <c r="ES632" s="1391"/>
      <c r="ET632" s="1391"/>
      <c r="EU632" s="1391"/>
      <c r="EV632" s="1391"/>
      <c r="EW632" s="1391">
        <f>SUM(EW597:FA631)</f>
        <v>0</v>
      </c>
      <c r="EX632" s="1391"/>
      <c r="EY632" s="1391"/>
      <c r="EZ632" s="1391"/>
      <c r="FA632" s="1391"/>
    </row>
    <row r="633" spans="2:157" ht="12.95" customHeight="1">
      <c r="B633" s="52" t="s">
        <v>464</v>
      </c>
      <c r="C633" s="1705"/>
      <c r="D633" s="1705"/>
      <c r="E633" s="1705"/>
      <c r="F633" s="1705"/>
      <c r="G633" s="1705"/>
      <c r="H633" s="1705"/>
      <c r="I633" s="1705"/>
      <c r="J633" s="1705"/>
      <c r="K633" s="1705"/>
      <c r="L633" s="1705"/>
      <c r="M633" s="1706" t="s">
        <v>1291</v>
      </c>
      <c r="N633" s="1706"/>
      <c r="O633" s="1706"/>
      <c r="P633" s="1706"/>
      <c r="Q633" s="1707"/>
      <c r="R633" s="1557"/>
      <c r="S633" s="1708"/>
      <c r="T633" s="1707"/>
      <c r="U633" s="1557"/>
      <c r="V633" s="1708"/>
      <c r="W633" s="1589"/>
      <c r="X633" s="1590"/>
      <c r="Y633" s="1591"/>
      <c r="Z633" s="1509" t="s">
        <v>1291</v>
      </c>
      <c r="AA633" s="1510"/>
      <c r="AB633" s="1511"/>
      <c r="AC633" s="1406"/>
      <c r="AD633" s="1407"/>
      <c r="AE633" s="1408"/>
      <c r="AF633" s="1583"/>
      <c r="AG633" s="1584"/>
      <c r="AH633" s="1584"/>
      <c r="AI633" s="1584"/>
      <c r="AJ633" s="1585"/>
      <c r="AK633" s="1718"/>
      <c r="AL633" s="1719"/>
      <c r="AM633" s="1719"/>
      <c r="AN633" s="1720"/>
      <c r="AO633" s="1576"/>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8">
        <f>BN632+BS632+BX632+CC632+CH632+CM632</f>
        <v>189</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705"/>
      <c r="D634" s="1705"/>
      <c r="E634" s="1705"/>
      <c r="F634" s="1705"/>
      <c r="G634" s="1705"/>
      <c r="H634" s="1705"/>
      <c r="I634" s="1705"/>
      <c r="J634" s="1705"/>
      <c r="K634" s="1705"/>
      <c r="L634" s="1705"/>
      <c r="M634" s="1706" t="s">
        <v>1291</v>
      </c>
      <c r="N634" s="1706"/>
      <c r="O634" s="1706"/>
      <c r="P634" s="1706"/>
      <c r="Q634" s="1707"/>
      <c r="R634" s="1557"/>
      <c r="S634" s="1708"/>
      <c r="T634" s="1707"/>
      <c r="U634" s="1557"/>
      <c r="V634" s="1708"/>
      <c r="W634" s="1589"/>
      <c r="X634" s="1590"/>
      <c r="Y634" s="1591"/>
      <c r="Z634" s="1509" t="s">
        <v>1291</v>
      </c>
      <c r="AA634" s="1510"/>
      <c r="AB634" s="1511"/>
      <c r="AC634" s="1406"/>
      <c r="AD634" s="1407"/>
      <c r="AE634" s="1408"/>
      <c r="AF634" s="1583"/>
      <c r="AG634" s="1584"/>
      <c r="AH634" s="1584"/>
      <c r="AI634" s="1584"/>
      <c r="AJ634" s="1585"/>
      <c r="AK634" s="1718"/>
      <c r="AL634" s="1719"/>
      <c r="AM634" s="1719"/>
      <c r="AN634" s="1720"/>
      <c r="AO634" s="1576"/>
      <c r="AP634" s="1577"/>
      <c r="AQ634" s="1577"/>
      <c r="AR634" s="1577"/>
      <c r="AS634" s="157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64</v>
      </c>
      <c r="BX634" s="3"/>
      <c r="BY634" s="3"/>
      <c r="BZ634" s="3"/>
      <c r="CA634" s="3"/>
      <c r="CB634" s="895">
        <f>BX632*2</f>
        <v>92</v>
      </c>
      <c r="CC634" s="3"/>
      <c r="CD634" s="3"/>
      <c r="CE634" s="3"/>
      <c r="CF634" s="3"/>
      <c r="CG634" s="895">
        <f>CC632*3</f>
        <v>171</v>
      </c>
      <c r="CH634" s="3"/>
      <c r="CI634" s="3"/>
      <c r="CJ634" s="3"/>
      <c r="CK634" s="3"/>
      <c r="CL634" s="895">
        <f>CH632*4</f>
        <v>88</v>
      </c>
      <c r="CM634" s="3"/>
      <c r="CN634" s="3"/>
      <c r="CO634" s="3"/>
      <c r="CP634" s="3"/>
      <c r="CQ634" s="895">
        <f>CM632*5</f>
        <v>0</v>
      </c>
      <c r="CS634" s="895">
        <f>BR634+BW634+CB634+CG634+CL634+CQ634</f>
        <v>415</v>
      </c>
      <c r="CT634" s="57" t="s">
        <v>2055</v>
      </c>
      <c r="CU634" s="3"/>
      <c r="CV634" s="3"/>
      <c r="CW634" s="3"/>
      <c r="CX634" s="3"/>
      <c r="CY634" s="3"/>
      <c r="CZ634" s="3"/>
      <c r="DA634" s="3"/>
      <c r="DB634" s="3"/>
      <c r="DC634" s="3"/>
      <c r="DD634" s="3"/>
      <c r="DE634" s="3"/>
      <c r="DF634" s="3"/>
    </row>
    <row r="635" spans="2:157" ht="12.95" customHeight="1">
      <c r="B635" s="52" t="s">
        <v>470</v>
      </c>
      <c r="C635" s="1705"/>
      <c r="D635" s="1705"/>
      <c r="E635" s="1705"/>
      <c r="F635" s="1705"/>
      <c r="G635" s="1705"/>
      <c r="H635" s="1705"/>
      <c r="I635" s="1705"/>
      <c r="J635" s="1705"/>
      <c r="K635" s="1705"/>
      <c r="L635" s="1705"/>
      <c r="M635" s="1706" t="s">
        <v>1291</v>
      </c>
      <c r="N635" s="1706"/>
      <c r="O635" s="1706"/>
      <c r="P635" s="1706"/>
      <c r="Q635" s="1707"/>
      <c r="R635" s="1557"/>
      <c r="S635" s="1708"/>
      <c r="T635" s="1707"/>
      <c r="U635" s="1557"/>
      <c r="V635" s="1708"/>
      <c r="W635" s="1589"/>
      <c r="X635" s="1590"/>
      <c r="Y635" s="1591"/>
      <c r="Z635" s="1509" t="s">
        <v>1291</v>
      </c>
      <c r="AA635" s="1510"/>
      <c r="AB635" s="1511"/>
      <c r="AC635" s="1406"/>
      <c r="AD635" s="1407"/>
      <c r="AE635" s="1408"/>
      <c r="AF635" s="1583"/>
      <c r="AG635" s="1584"/>
      <c r="AH635" s="1584"/>
      <c r="AI635" s="1584"/>
      <c r="AJ635" s="1585"/>
      <c r="AK635" s="1718"/>
      <c r="AL635" s="1719"/>
      <c r="AM635" s="1719"/>
      <c r="AN635" s="1720"/>
      <c r="AO635" s="1576"/>
      <c r="AP635" s="1577"/>
      <c r="AQ635" s="1577"/>
      <c r="AR635" s="1577"/>
      <c r="AS635" s="157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57.3125</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2.95" customHeight="1">
      <c r="B636" s="52" t="s">
        <v>655</v>
      </c>
      <c r="C636" s="1705"/>
      <c r="D636" s="1705"/>
      <c r="E636" s="1705"/>
      <c r="F636" s="1705"/>
      <c r="G636" s="1705"/>
      <c r="H636" s="1705"/>
      <c r="I636" s="1705"/>
      <c r="J636" s="1705"/>
      <c r="K636" s="1705"/>
      <c r="L636" s="1705"/>
      <c r="M636" s="1706" t="s">
        <v>1291</v>
      </c>
      <c r="N636" s="1706"/>
      <c r="O636" s="1706"/>
      <c r="P636" s="1706"/>
      <c r="Q636" s="1707"/>
      <c r="R636" s="1557"/>
      <c r="S636" s="1708"/>
      <c r="T636" s="1707"/>
      <c r="U636" s="1557"/>
      <c r="V636" s="1708"/>
      <c r="W636" s="1589"/>
      <c r="X636" s="1590"/>
      <c r="Y636" s="1591"/>
      <c r="Z636" s="1509" t="s">
        <v>1291</v>
      </c>
      <c r="AA636" s="1510"/>
      <c r="AB636" s="1511"/>
      <c r="AC636" s="1406"/>
      <c r="AD636" s="1407"/>
      <c r="AE636" s="1408"/>
      <c r="AF636" s="1583"/>
      <c r="AG636" s="1584"/>
      <c r="AH636" s="1584"/>
      <c r="AI636" s="1584"/>
      <c r="AJ636" s="1585"/>
      <c r="AK636" s="1718"/>
      <c r="AL636" s="1719"/>
      <c r="AM636" s="1719"/>
      <c r="AN636" s="1720"/>
      <c r="AO636" s="1576"/>
      <c r="AP636" s="1577"/>
      <c r="AQ636" s="1577"/>
      <c r="AR636" s="1577"/>
      <c r="AS636" s="157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f t="shared" si="24"/>
        <v>140.203125</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2.95" customHeight="1">
      <c r="B637" s="52" t="s">
        <v>363</v>
      </c>
      <c r="C637" s="1705"/>
      <c r="D637" s="1705"/>
      <c r="E637" s="1705"/>
      <c r="F637" s="1705"/>
      <c r="G637" s="1705"/>
      <c r="H637" s="1705"/>
      <c r="I637" s="1705"/>
      <c r="J637" s="1705"/>
      <c r="K637" s="1705"/>
      <c r="L637" s="1705"/>
      <c r="M637" s="1706" t="s">
        <v>1291</v>
      </c>
      <c r="N637" s="1706"/>
      <c r="O637" s="1706"/>
      <c r="P637" s="1706"/>
      <c r="Q637" s="1707"/>
      <c r="R637" s="1557"/>
      <c r="S637" s="1708"/>
      <c r="T637" s="1707"/>
      <c r="U637" s="1557"/>
      <c r="V637" s="1708"/>
      <c r="W637" s="1589"/>
      <c r="X637" s="1590"/>
      <c r="Y637" s="1591"/>
      <c r="Z637" s="1509" t="s">
        <v>1291</v>
      </c>
      <c r="AA637" s="1510"/>
      <c r="AB637" s="1511"/>
      <c r="AC637" s="1406"/>
      <c r="AD637" s="1407"/>
      <c r="AE637" s="1408"/>
      <c r="AF637" s="1583"/>
      <c r="AG637" s="1584"/>
      <c r="AH637" s="1584"/>
      <c r="AI637" s="1584"/>
      <c r="AJ637" s="1585"/>
      <c r="AK637" s="1718"/>
      <c r="AL637" s="1719"/>
      <c r="AM637" s="1719"/>
      <c r="AN637" s="1720"/>
      <c r="AO637" s="1576"/>
      <c r="AP637" s="1577"/>
      <c r="AQ637" s="1577"/>
      <c r="AR637" s="1577"/>
      <c r="AS637" s="1578"/>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3">
        <f>IF(J773="SRO/Studio",O773,0)</f>
        <v>0</v>
      </c>
      <c r="BO637" s="1394"/>
      <c r="BP637" s="1394"/>
      <c r="BQ637" s="1394"/>
      <c r="BR637" s="1395"/>
      <c r="BS637" s="1396">
        <f>IF(J773="1 Bedroom",O773,0)</f>
        <v>0</v>
      </c>
      <c r="BT637" s="1396"/>
      <c r="BU637" s="1396"/>
      <c r="BV637" s="1396"/>
      <c r="BW637" s="1396"/>
      <c r="BX637" s="1396">
        <f>IF(J773="2 Bedrooms",O773,0)</f>
        <v>2</v>
      </c>
      <c r="BY637" s="1396"/>
      <c r="BZ637" s="1396"/>
      <c r="CA637" s="1396"/>
      <c r="CB637" s="1396"/>
      <c r="CC637" s="1396">
        <f>IF(J773="3 Bedrooms",O773,0)</f>
        <v>0</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f t="shared" si="24"/>
        <v>346.78125</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2.95" customHeight="1">
      <c r="B638" s="52" t="s">
        <v>364</v>
      </c>
      <c r="C638" s="1705"/>
      <c r="D638" s="1705"/>
      <c r="E638" s="1705"/>
      <c r="F638" s="1705"/>
      <c r="G638" s="1705"/>
      <c r="H638" s="1705"/>
      <c r="I638" s="1705"/>
      <c r="J638" s="1705"/>
      <c r="K638" s="1705"/>
      <c r="L638" s="1705"/>
      <c r="M638" s="1706" t="s">
        <v>1291</v>
      </c>
      <c r="N638" s="1706"/>
      <c r="O638" s="1706"/>
      <c r="P638" s="1706"/>
      <c r="Q638" s="1707"/>
      <c r="R638" s="1557"/>
      <c r="S638" s="1708"/>
      <c r="T638" s="1707"/>
      <c r="U638" s="1557"/>
      <c r="V638" s="1708"/>
      <c r="W638" s="1589"/>
      <c r="X638" s="1590"/>
      <c r="Y638" s="1591"/>
      <c r="Z638" s="1509" t="s">
        <v>1291</v>
      </c>
      <c r="AA638" s="1510"/>
      <c r="AB638" s="1511"/>
      <c r="AC638" s="1406"/>
      <c r="AD638" s="1407"/>
      <c r="AE638" s="1408"/>
      <c r="AF638" s="1583"/>
      <c r="AG638" s="1584"/>
      <c r="AH638" s="1584"/>
      <c r="AI638" s="1584"/>
      <c r="AJ638" s="1585"/>
      <c r="AK638" s="1718"/>
      <c r="AL638" s="1719"/>
      <c r="AM638" s="1719"/>
      <c r="AN638" s="1720"/>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f t="shared" si="24"/>
        <v>689.0625</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2.95" customHeight="1">
      <c r="B639" s="1605" t="s">
        <v>128</v>
      </c>
      <c r="C639" s="1606"/>
      <c r="D639" s="1606"/>
      <c r="E639" s="1606"/>
      <c r="F639" s="1606"/>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6"/>
      <c r="AF639" s="1606"/>
      <c r="AG639" s="1606"/>
      <c r="AH639" s="1606"/>
      <c r="AI639" s="1606"/>
      <c r="AJ639" s="1606"/>
      <c r="AK639" s="1606"/>
      <c r="AL639" s="1606"/>
      <c r="AM639" s="1606"/>
      <c r="AN639" s="1607"/>
      <c r="AO639" s="1630">
        <f>SUM(AO627:AR638)</f>
        <v>35784188</v>
      </c>
      <c r="AP639" s="1623"/>
      <c r="AQ639" s="1623"/>
      <c r="AR639" s="1623"/>
      <c r="AS639" s="1624"/>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f t="shared" si="25"/>
        <v>68.15217391304347</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2.95" customHeight="1">
      <c r="B640" s="1605" t="s">
        <v>268</v>
      </c>
      <c r="C640" s="1606"/>
      <c r="D640" s="1606"/>
      <c r="E640" s="1606"/>
      <c r="F640" s="1606"/>
      <c r="G640" s="1606"/>
      <c r="H640" s="1606"/>
      <c r="I640" s="1606"/>
      <c r="J640" s="1606"/>
      <c r="K640" s="1606"/>
      <c r="L640" s="1606"/>
      <c r="M640" s="1606"/>
      <c r="N640" s="1606"/>
      <c r="O640" s="1606"/>
      <c r="P640" s="1606"/>
      <c r="Q640" s="1606"/>
      <c r="R640" s="1606"/>
      <c r="S640" s="1606"/>
      <c r="T640" s="1606"/>
      <c r="U640" s="1606"/>
      <c r="V640" s="1606"/>
      <c r="W640" s="1606"/>
      <c r="X640" s="1606"/>
      <c r="Y640" s="1606"/>
      <c r="Z640" s="1606"/>
      <c r="AA640" s="1606"/>
      <c r="AB640" s="1606"/>
      <c r="AC640" s="1606"/>
      <c r="AD640" s="1606"/>
      <c r="AE640" s="1606"/>
      <c r="AF640" s="1606"/>
      <c r="AG640" s="1606"/>
      <c r="AH640" s="1606"/>
      <c r="AI640" s="1606"/>
      <c r="AJ640" s="1606"/>
      <c r="AK640" s="1606"/>
      <c r="AL640" s="1606"/>
      <c r="AM640" s="1606"/>
      <c r="AN640" s="1607"/>
      <c r="AO640" s="1576">
        <f>'Sources and Uses Budget'!C105-Application!AO627-Application!AO628-Application!AO629-AO630</f>
        <v>34699903</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61" t="e">
        <f t="shared" si="29"/>
        <v>#VALUE!</v>
      </c>
      <c r="DY640" s="1361"/>
      <c r="DZ640" s="1361"/>
      <c r="EA640" s="1361"/>
      <c r="EB640" s="1361"/>
      <c r="EC640" s="1361" t="e">
        <f t="shared" si="24"/>
        <v>#VALUE!</v>
      </c>
      <c r="ED640" s="1361"/>
      <c r="EE640" s="1361"/>
      <c r="EF640" s="1361"/>
      <c r="EG640" s="1361"/>
      <c r="EH640" s="1361">
        <f t="shared" si="25"/>
        <v>181.69565217391306</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B641" s="1586" t="s">
        <v>269</v>
      </c>
      <c r="C641" s="1587"/>
      <c r="D641" s="1587"/>
      <c r="E641" s="1587"/>
      <c r="F641" s="1587"/>
      <c r="G641" s="1587"/>
      <c r="H641" s="1587"/>
      <c r="I641" s="1587"/>
      <c r="J641" s="1587"/>
      <c r="K641" s="1587"/>
      <c r="L641" s="1587"/>
      <c r="M641" s="1587"/>
      <c r="N641" s="1587"/>
      <c r="O641" s="1587"/>
      <c r="P641" s="1587"/>
      <c r="Q641" s="1587"/>
      <c r="R641" s="1587"/>
      <c r="S641" s="1587"/>
      <c r="T641" s="1587"/>
      <c r="U641" s="1587"/>
      <c r="V641" s="1587"/>
      <c r="W641" s="1587"/>
      <c r="X641" s="1587"/>
      <c r="Y641" s="1587"/>
      <c r="Z641" s="1587"/>
      <c r="AA641" s="1587"/>
      <c r="AB641" s="1587"/>
      <c r="AC641" s="1587"/>
      <c r="AD641" s="1587"/>
      <c r="AE641" s="1587"/>
      <c r="AF641" s="1587"/>
      <c r="AG641" s="1587"/>
      <c r="AH641" s="1587"/>
      <c r="AI641" s="1587"/>
      <c r="AJ641" s="1587"/>
      <c r="AK641" s="1587"/>
      <c r="AL641" s="1587"/>
      <c r="AM641" s="1587"/>
      <c r="AN641" s="1588"/>
      <c r="AO641" s="1630">
        <f>AO639+AO640</f>
        <v>70484091</v>
      </c>
      <c r="AP641" s="1623"/>
      <c r="AQ641" s="1623"/>
      <c r="AR641" s="1623"/>
      <c r="AS641" s="1624"/>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08"/>
      <c r="BP641" s="1508"/>
      <c r="BQ641" s="1508"/>
      <c r="BR641" s="1399"/>
      <c r="BS641" s="1722">
        <f>SUM(BS637:BW640)</f>
        <v>0</v>
      </c>
      <c r="BT641" s="1723"/>
      <c r="BU641" s="1723"/>
      <c r="BV641" s="1723"/>
      <c r="BW641" s="1724"/>
      <c r="BX641" s="1722">
        <f>SUM(BX637:CB640)</f>
        <v>2</v>
      </c>
      <c r="BY641" s="1723"/>
      <c r="BZ641" s="1723"/>
      <c r="CA641" s="1723"/>
      <c r="CB641" s="1724"/>
      <c r="CC641" s="1722">
        <f>SUM(CC637:CG640)</f>
        <v>0</v>
      </c>
      <c r="CD641" s="1723"/>
      <c r="CE641" s="1723"/>
      <c r="CF641" s="1723"/>
      <c r="CG641" s="1724"/>
      <c r="CH641" s="1722">
        <f>SUM(CH637:CL640)</f>
        <v>0</v>
      </c>
      <c r="CI641" s="1723"/>
      <c r="CJ641" s="1723"/>
      <c r="CK641" s="1723"/>
      <c r="CL641" s="1724"/>
      <c r="CM641" s="1722">
        <f>SUM(CM637:CQ640)</f>
        <v>0</v>
      </c>
      <c r="CN641" s="1723"/>
      <c r="CO641" s="1723"/>
      <c r="CP641" s="1723"/>
      <c r="CQ641" s="1724"/>
      <c r="CS641" s="895">
        <f>BN641+BS641+BX641+CC641+CH641+CM641</f>
        <v>2</v>
      </c>
      <c r="CT641" s="57" t="s">
        <v>2052</v>
      </c>
      <c r="CU641" s="3"/>
      <c r="CV641" s="3"/>
      <c r="CW641" s="3"/>
      <c r="CX641" s="3"/>
      <c r="CY641" s="3"/>
      <c r="CZ641" s="3"/>
      <c r="DA641" s="3"/>
      <c r="DB641" s="3"/>
      <c r="DC641" s="3"/>
      <c r="DD641" s="3"/>
      <c r="DE641" s="3"/>
      <c r="DF641" s="3"/>
      <c r="DX641" s="1361" t="e">
        <f t="shared" si="29"/>
        <v>#VALUE!</v>
      </c>
      <c r="DY641" s="1361"/>
      <c r="DZ641" s="1361"/>
      <c r="EA641" s="1361"/>
      <c r="EB641" s="1361"/>
      <c r="EC641" s="1361" t="e">
        <f t="shared" si="24"/>
        <v>#VALUE!</v>
      </c>
      <c r="ED641" s="1361"/>
      <c r="EE641" s="1361"/>
      <c r="EF641" s="1361"/>
      <c r="EG641" s="1361"/>
      <c r="EH641" s="1361">
        <f t="shared" si="25"/>
        <v>417.695652173913</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2054</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f t="shared" si="25"/>
        <v>804.39130434782601</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55" t="s">
        <v>112</v>
      </c>
      <c r="B643" t="s">
        <v>472</v>
      </c>
      <c r="G643" s="1507" t="str">
        <f>C627</f>
        <v>CalHFA - Perm Loan</v>
      </c>
      <c r="H643" s="1507"/>
      <c r="I643" s="1507"/>
      <c r="J643" s="1507"/>
      <c r="K643" s="1507"/>
      <c r="L643" s="1507"/>
      <c r="M643" s="1507"/>
      <c r="N643" s="1507"/>
      <c r="O643" s="1507"/>
      <c r="P643" s="1507"/>
      <c r="Q643" s="1507"/>
      <c r="R643" s="1507"/>
      <c r="S643" s="8"/>
      <c r="T643" s="55" t="s">
        <v>113</v>
      </c>
      <c r="U643" t="s">
        <v>472</v>
      </c>
      <c r="Z643" s="1507" t="str">
        <f>C628</f>
        <v>CalHFA - MIP</v>
      </c>
      <c r="AA643" s="1507"/>
      <c r="AB643" s="1507"/>
      <c r="AC643" s="1507"/>
      <c r="AD643" s="1507"/>
      <c r="AE643" s="1507"/>
      <c r="AF643" s="1507"/>
      <c r="AG643" s="1507"/>
      <c r="AH643" s="1507"/>
      <c r="AI643" s="1507"/>
      <c r="AJ643" s="1507"/>
      <c r="AK643" s="150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f t="shared" si="26"/>
        <v>24.807017543859647</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2"/>
      <c r="B644" t="s">
        <v>85</v>
      </c>
      <c r="G644" s="1384" t="s">
        <v>2708</v>
      </c>
      <c r="H644" s="1384"/>
      <c r="I644" s="1384"/>
      <c r="J644" s="1384"/>
      <c r="K644" s="1384"/>
      <c r="L644" s="1384"/>
      <c r="M644" s="1384"/>
      <c r="N644" s="1384"/>
      <c r="O644" s="1384"/>
      <c r="P644" s="1384"/>
      <c r="Q644" s="1384"/>
      <c r="R644" s="1384"/>
      <c r="S644" s="8"/>
      <c r="T644" s="22"/>
      <c r="U644" t="s">
        <v>85</v>
      </c>
      <c r="Z644" s="1384" t="s">
        <v>2708</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f t="shared" si="26"/>
        <v>47.824561403508767</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2"/>
      <c r="B645" t="s">
        <v>589</v>
      </c>
      <c r="G645" s="1384" t="s">
        <v>2709</v>
      </c>
      <c r="H645" s="1384"/>
      <c r="I645" s="1384"/>
      <c r="J645" s="1384"/>
      <c r="K645" s="1384"/>
      <c r="L645" s="1384"/>
      <c r="M645" s="1384"/>
      <c r="N645" s="1384"/>
      <c r="O645" s="1384"/>
      <c r="P645" s="1384"/>
      <c r="Q645" s="1384"/>
      <c r="R645" s="1384"/>
      <c r="T645" s="22"/>
      <c r="U645" t="s">
        <v>589</v>
      </c>
      <c r="Z645" s="1454" t="s">
        <v>2709</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6">
        <f t="shared" ref="BS645:BS654" si="31">IF(J787="1 Bedroom",O787,0)</f>
        <v>0</v>
      </c>
      <c r="BT645" s="1396"/>
      <c r="BU645" s="1396"/>
      <c r="BV645" s="1396"/>
      <c r="BW645" s="1396"/>
      <c r="BX645" s="1396">
        <f t="shared" ref="BX645:BX654" si="32">IF(J787="2 Bedrooms",O787,0)</f>
        <v>0</v>
      </c>
      <c r="BY645" s="1396"/>
      <c r="BZ645" s="1396"/>
      <c r="CA645" s="1396"/>
      <c r="CB645" s="1396"/>
      <c r="CC645" s="1396">
        <f t="shared" ref="CC645:CC654" si="33">IF(J787="3 Bedrooms",O787,0)</f>
        <v>0</v>
      </c>
      <c r="CD645" s="1396"/>
      <c r="CE645" s="1396"/>
      <c r="CF645" s="1396"/>
      <c r="CG645" s="1396"/>
      <c r="CH645" s="1396">
        <f t="shared" ref="CH645:CH654" si="34">IF(J787="4 Bedrooms",O787,0)</f>
        <v>0</v>
      </c>
      <c r="CI645" s="1396"/>
      <c r="CJ645" s="1396"/>
      <c r="CK645" s="1396"/>
      <c r="CL645" s="1396"/>
      <c r="CM645" s="1396">
        <f t="shared" ref="CM645:CM654" si="35">IF(J787="5 Bedrooms",O787,0)</f>
        <v>0</v>
      </c>
      <c r="CN645" s="1396"/>
      <c r="CO645" s="1396"/>
      <c r="CP645" s="1396"/>
      <c r="CQ645" s="1396"/>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f t="shared" si="26"/>
        <v>118.66666666666666</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2"/>
      <c r="B646" t="s">
        <v>17</v>
      </c>
      <c r="G646" s="1384" t="s">
        <v>2710</v>
      </c>
      <c r="H646" s="1384"/>
      <c r="I646" s="1384"/>
      <c r="J646" s="1384"/>
      <c r="K646" s="1384"/>
      <c r="L646" s="1384"/>
      <c r="M646" s="1384"/>
      <c r="N646" s="1384"/>
      <c r="O646" s="1384"/>
      <c r="P646" s="1384"/>
      <c r="Q646" s="1384"/>
      <c r="R646" s="1384"/>
      <c r="S646" s="8"/>
      <c r="T646" s="22"/>
      <c r="U646" t="s">
        <v>17</v>
      </c>
      <c r="Z646" s="1454" t="s">
        <v>2710</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393">
        <f t="shared" si="30"/>
        <v>0</v>
      </c>
      <c r="BO646" s="1394"/>
      <c r="BP646" s="1394"/>
      <c r="BQ646" s="1394"/>
      <c r="BR646" s="1395"/>
      <c r="BS646" s="1396">
        <f t="shared" si="31"/>
        <v>0</v>
      </c>
      <c r="BT646" s="1396"/>
      <c r="BU646" s="1396"/>
      <c r="BV646" s="1396"/>
      <c r="BW646" s="1396"/>
      <c r="BX646" s="1396">
        <f t="shared" si="32"/>
        <v>0</v>
      </c>
      <c r="BY646" s="1396"/>
      <c r="BZ646" s="1396"/>
      <c r="CA646" s="1396"/>
      <c r="CB646" s="1396"/>
      <c r="CC646" s="1396">
        <f t="shared" si="33"/>
        <v>0</v>
      </c>
      <c r="CD646" s="1396"/>
      <c r="CE646" s="1396"/>
      <c r="CF646" s="1396"/>
      <c r="CG646" s="1396"/>
      <c r="CH646" s="1396">
        <f t="shared" si="34"/>
        <v>0</v>
      </c>
      <c r="CI646" s="1396"/>
      <c r="CJ646" s="1396"/>
      <c r="CK646" s="1396"/>
      <c r="CL646" s="1396"/>
      <c r="CM646" s="1396">
        <f t="shared" si="35"/>
        <v>0</v>
      </c>
      <c r="CN646" s="1396"/>
      <c r="CO646" s="1396"/>
      <c r="CP646" s="1396"/>
      <c r="CQ646" s="1396"/>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f t="shared" si="26"/>
        <v>247.94736842105263</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22"/>
      <c r="B647" t="s">
        <v>317</v>
      </c>
      <c r="G647" s="1386" t="s">
        <v>2746</v>
      </c>
      <c r="H647" s="1386"/>
      <c r="I647" s="1386"/>
      <c r="J647" s="1386"/>
      <c r="K647" s="1386"/>
      <c r="L647" s="1386"/>
      <c r="O647" s="33" t="s">
        <v>207</v>
      </c>
      <c r="P647" s="1385"/>
      <c r="Q647" s="1385"/>
      <c r="R647" s="1385"/>
      <c r="S647" s="10"/>
      <c r="T647" s="22"/>
      <c r="U647" t="s">
        <v>317</v>
      </c>
      <c r="Z647" s="1386" t="s">
        <v>2746</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6">
        <f t="shared" si="31"/>
        <v>0</v>
      </c>
      <c r="BT647" s="1396"/>
      <c r="BU647" s="1396"/>
      <c r="BV647" s="1396"/>
      <c r="BW647" s="1396"/>
      <c r="BX647" s="1396">
        <f t="shared" si="32"/>
        <v>0</v>
      </c>
      <c r="BY647" s="1396"/>
      <c r="BZ647" s="1396"/>
      <c r="CA647" s="1396"/>
      <c r="CB647" s="1396"/>
      <c r="CC647" s="1396">
        <f t="shared" si="33"/>
        <v>0</v>
      </c>
      <c r="CD647" s="1396"/>
      <c r="CE647" s="1396"/>
      <c r="CF647" s="1396"/>
      <c r="CG647" s="1396"/>
      <c r="CH647" s="1396">
        <f t="shared" si="34"/>
        <v>0</v>
      </c>
      <c r="CI647" s="1396"/>
      <c r="CJ647" s="1396"/>
      <c r="CK647" s="1396"/>
      <c r="CL647" s="1396"/>
      <c r="CM647" s="1396">
        <f t="shared" si="35"/>
        <v>0</v>
      </c>
      <c r="CN647" s="1396"/>
      <c r="CO647" s="1396"/>
      <c r="CP647" s="1396"/>
      <c r="CQ647" s="1396"/>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f t="shared" si="26"/>
        <v>62.017543859649116</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2"/>
      <c r="B648" t="s">
        <v>18</v>
      </c>
      <c r="H648" s="1384" t="s">
        <v>2738</v>
      </c>
      <c r="I648" s="1384"/>
      <c r="J648" s="1384"/>
      <c r="K648" s="1384"/>
      <c r="L648" s="1384"/>
      <c r="M648" s="1384"/>
      <c r="N648" s="1384"/>
      <c r="O648" s="1384"/>
      <c r="P648" s="1384"/>
      <c r="Q648" s="1384"/>
      <c r="R648" s="1384"/>
      <c r="S648" s="8"/>
      <c r="T648" s="22"/>
      <c r="U648" t="s">
        <v>18</v>
      </c>
      <c r="AA648" s="1384" t="s">
        <v>2747</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6">
        <f t="shared" si="31"/>
        <v>0</v>
      </c>
      <c r="BT648" s="1396"/>
      <c r="BU648" s="1396"/>
      <c r="BV648" s="1396"/>
      <c r="BW648" s="1396"/>
      <c r="BX648" s="1396">
        <f t="shared" si="32"/>
        <v>0</v>
      </c>
      <c r="BY648" s="1396"/>
      <c r="BZ648" s="1396"/>
      <c r="CA648" s="1396"/>
      <c r="CB648" s="1396"/>
      <c r="CC648" s="1396">
        <f t="shared" si="33"/>
        <v>0</v>
      </c>
      <c r="CD648" s="1396"/>
      <c r="CE648" s="1396"/>
      <c r="CF648" s="1396"/>
      <c r="CG648" s="1396"/>
      <c r="CH648" s="1396">
        <f t="shared" si="34"/>
        <v>0</v>
      </c>
      <c r="CI648" s="1396"/>
      <c r="CJ648" s="1396"/>
      <c r="CK648" s="1396"/>
      <c r="CL648" s="1396"/>
      <c r="CM648" s="1396">
        <f t="shared" si="35"/>
        <v>0</v>
      </c>
      <c r="CN648" s="1396"/>
      <c r="CO648" s="1396"/>
      <c r="CP648" s="1396"/>
      <c r="CQ648" s="1396"/>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f t="shared" si="26"/>
        <v>143.4736842105263</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6">
        <f t="shared" si="31"/>
        <v>0</v>
      </c>
      <c r="BT649" s="1396"/>
      <c r="BU649" s="1396"/>
      <c r="BV649" s="1396"/>
      <c r="BW649" s="1396"/>
      <c r="BX649" s="1396">
        <f t="shared" si="32"/>
        <v>0</v>
      </c>
      <c r="BY649" s="1396"/>
      <c r="BZ649" s="1396"/>
      <c r="CA649" s="1396"/>
      <c r="CB649" s="1396"/>
      <c r="CC649" s="1396">
        <f t="shared" si="33"/>
        <v>0</v>
      </c>
      <c r="CD649" s="1396"/>
      <c r="CE649" s="1396"/>
      <c r="CF649" s="1396"/>
      <c r="CG649" s="1396"/>
      <c r="CH649" s="1396">
        <f t="shared" si="34"/>
        <v>0</v>
      </c>
      <c r="CI649" s="1396"/>
      <c r="CJ649" s="1396"/>
      <c r="CK649" s="1396"/>
      <c r="CL649" s="1396"/>
      <c r="CM649" s="1396">
        <f t="shared" si="35"/>
        <v>0</v>
      </c>
      <c r="CN649" s="1396"/>
      <c r="CO649" s="1396"/>
      <c r="CP649" s="1396"/>
      <c r="CQ649" s="1396"/>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f t="shared" si="26"/>
        <v>326.33333333333331</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6">
        <f t="shared" si="31"/>
        <v>0</v>
      </c>
      <c r="BT650" s="1396"/>
      <c r="BU650" s="1396"/>
      <c r="BV650" s="1396"/>
      <c r="BW650" s="1396"/>
      <c r="BX650" s="1396">
        <f t="shared" si="32"/>
        <v>0</v>
      </c>
      <c r="BY650" s="1396"/>
      <c r="BZ650" s="1396"/>
      <c r="CA650" s="1396"/>
      <c r="CB650" s="1396"/>
      <c r="CC650" s="1396">
        <f t="shared" si="33"/>
        <v>0</v>
      </c>
      <c r="CD650" s="1396"/>
      <c r="CE650" s="1396"/>
      <c r="CF650" s="1396"/>
      <c r="CG650" s="1396"/>
      <c r="CH650" s="1396">
        <f t="shared" si="34"/>
        <v>0</v>
      </c>
      <c r="CI650" s="1396"/>
      <c r="CJ650" s="1396"/>
      <c r="CK650" s="1396"/>
      <c r="CL650" s="1396"/>
      <c r="CM650" s="1396">
        <f t="shared" si="35"/>
        <v>0</v>
      </c>
      <c r="CN650" s="1396"/>
      <c r="CO650" s="1396"/>
      <c r="CP650" s="1396"/>
      <c r="CQ650" s="1396"/>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f t="shared" si="26"/>
        <v>708.42105263157896</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2.95" customHeight="1">
      <c r="A651" s="55" t="s">
        <v>119</v>
      </c>
      <c r="B651" t="s">
        <v>472</v>
      </c>
      <c r="G651" s="1507" t="str">
        <f>C629</f>
        <v>Deferred Developer Fee</v>
      </c>
      <c r="H651" s="1507"/>
      <c r="I651" s="1507"/>
      <c r="J651" s="1507"/>
      <c r="K651" s="1507"/>
      <c r="L651" s="1507"/>
      <c r="M651" s="1507"/>
      <c r="N651" s="1507"/>
      <c r="O651" s="1507"/>
      <c r="P651" s="1507"/>
      <c r="Q651" s="1507"/>
      <c r="R651" s="1507"/>
      <c r="T651" s="55" t="s">
        <v>590</v>
      </c>
      <c r="U651" t="s">
        <v>472</v>
      </c>
      <c r="Z651" s="1507" t="str">
        <f>C630</f>
        <v>WNC - Solar Equity</v>
      </c>
      <c r="AA651" s="1507"/>
      <c r="AB651" s="1507"/>
      <c r="AC651" s="1507"/>
      <c r="AD651" s="1507"/>
      <c r="AE651" s="1507"/>
      <c r="AF651" s="1507"/>
      <c r="AG651" s="1507"/>
      <c r="AH651" s="1507"/>
      <c r="AI651" s="1507"/>
      <c r="AJ651" s="1507"/>
      <c r="AK651" s="1507"/>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6">
        <f t="shared" si="31"/>
        <v>0</v>
      </c>
      <c r="BT651" s="1396"/>
      <c r="BU651" s="1396"/>
      <c r="BV651" s="1396"/>
      <c r="BW651" s="1396"/>
      <c r="BX651" s="1396">
        <f t="shared" si="32"/>
        <v>0</v>
      </c>
      <c r="BY651" s="1396"/>
      <c r="BZ651" s="1396"/>
      <c r="CA651" s="1396"/>
      <c r="CB651" s="1396"/>
      <c r="CC651" s="1396">
        <f t="shared" si="33"/>
        <v>0</v>
      </c>
      <c r="CD651" s="1396"/>
      <c r="CE651" s="1396"/>
      <c r="CF651" s="1396"/>
      <c r="CG651" s="1396"/>
      <c r="CH651" s="1396">
        <f t="shared" si="34"/>
        <v>0</v>
      </c>
      <c r="CI651" s="1396"/>
      <c r="CJ651" s="1396"/>
      <c r="CK651" s="1396"/>
      <c r="CL651" s="1396"/>
      <c r="CM651" s="1396">
        <f t="shared" si="35"/>
        <v>0</v>
      </c>
      <c r="CN651" s="1396"/>
      <c r="CO651" s="1396"/>
      <c r="CP651" s="1396"/>
      <c r="CQ651" s="1396"/>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f t="shared" si="27"/>
        <v>103.36363636363636</v>
      </c>
      <c r="ES651" s="1361"/>
      <c r="ET651" s="1361"/>
      <c r="EU651" s="1361"/>
      <c r="EV651" s="1361"/>
      <c r="EW651" s="1361" t="e">
        <f t="shared" si="28"/>
        <v>#VALUE!</v>
      </c>
      <c r="EX651" s="1361"/>
      <c r="EY651" s="1361"/>
      <c r="EZ651" s="1361"/>
      <c r="FA651" s="1361"/>
    </row>
    <row r="652" spans="1:157" ht="12.95" customHeight="1">
      <c r="A652" s="22"/>
      <c r="B652" t="s">
        <v>85</v>
      </c>
      <c r="G652" s="1384" t="s">
        <v>2647</v>
      </c>
      <c r="H652" s="1384"/>
      <c r="I652" s="1384"/>
      <c r="J652" s="1384"/>
      <c r="K652" s="1384"/>
      <c r="L652" s="1384"/>
      <c r="M652" s="1384"/>
      <c r="N652" s="1384"/>
      <c r="O652" s="1384"/>
      <c r="P652" s="1384"/>
      <c r="Q652" s="1384"/>
      <c r="R652" s="1384"/>
      <c r="T652" s="22"/>
      <c r="U652" t="s">
        <v>85</v>
      </c>
      <c r="Z652" s="1454" t="s">
        <v>2695</v>
      </c>
      <c r="AA652" s="1454"/>
      <c r="AB652" s="1454"/>
      <c r="AC652" s="1454"/>
      <c r="AD652" s="1454"/>
      <c r="AE652" s="1454"/>
      <c r="AF652" s="1454"/>
      <c r="AG652" s="1454"/>
      <c r="AH652" s="1454"/>
      <c r="AI652" s="1454"/>
      <c r="AJ652" s="1454"/>
      <c r="AK652" s="1454"/>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6">
        <f t="shared" si="31"/>
        <v>0</v>
      </c>
      <c r="BT652" s="1396"/>
      <c r="BU652" s="1396"/>
      <c r="BV652" s="1396"/>
      <c r="BW652" s="1396"/>
      <c r="BX652" s="1396">
        <f t="shared" si="32"/>
        <v>0</v>
      </c>
      <c r="BY652" s="1396"/>
      <c r="BZ652" s="1396"/>
      <c r="CA652" s="1396"/>
      <c r="CB652" s="1396"/>
      <c r="CC652" s="1396">
        <f t="shared" si="33"/>
        <v>0</v>
      </c>
      <c r="CD652" s="1396"/>
      <c r="CE652" s="1396"/>
      <c r="CF652" s="1396"/>
      <c r="CG652" s="1396"/>
      <c r="CH652" s="1396">
        <f t="shared" si="34"/>
        <v>0</v>
      </c>
      <c r="CI652" s="1396"/>
      <c r="CJ652" s="1396"/>
      <c r="CK652" s="1396"/>
      <c r="CL652" s="1396"/>
      <c r="CM652" s="1396">
        <f t="shared" si="35"/>
        <v>0</v>
      </c>
      <c r="CN652" s="1396"/>
      <c r="CO652" s="1396"/>
      <c r="CP652" s="1396"/>
      <c r="CQ652" s="1396"/>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f t="shared" si="27"/>
        <v>203.04545454545453</v>
      </c>
      <c r="ES652" s="1361"/>
      <c r="ET652" s="1361"/>
      <c r="EU652" s="1361"/>
      <c r="EV652" s="1361"/>
      <c r="EW652" s="1361" t="e">
        <f t="shared" si="28"/>
        <v>#VALUE!</v>
      </c>
      <c r="EX652" s="1361"/>
      <c r="EY652" s="1361"/>
      <c r="EZ652" s="1361"/>
      <c r="FA652" s="1361"/>
    </row>
    <row r="653" spans="1:157" ht="12.95" customHeight="1">
      <c r="A653" s="22"/>
      <c r="B653" t="s">
        <v>589</v>
      </c>
      <c r="G653" s="1454" t="s">
        <v>2673</v>
      </c>
      <c r="H653" s="1454"/>
      <c r="I653" s="1454"/>
      <c r="J653" s="1454"/>
      <c r="K653" s="1454"/>
      <c r="L653" s="1454"/>
      <c r="M653" s="1454"/>
      <c r="N653" s="1454"/>
      <c r="O653" s="1454"/>
      <c r="P653" s="1454"/>
      <c r="Q653" s="1454"/>
      <c r="R653" s="1454"/>
      <c r="T653" s="22"/>
      <c r="U653" t="s">
        <v>589</v>
      </c>
      <c r="Z653" s="1454" t="s">
        <v>2696</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6">
        <f t="shared" si="31"/>
        <v>0</v>
      </c>
      <c r="BT653" s="1396"/>
      <c r="BU653" s="1396"/>
      <c r="BV653" s="1396"/>
      <c r="BW653" s="1396"/>
      <c r="BX653" s="1396">
        <f t="shared" si="32"/>
        <v>0</v>
      </c>
      <c r="BY653" s="1396"/>
      <c r="BZ653" s="1396"/>
      <c r="CA653" s="1396"/>
      <c r="CB653" s="1396"/>
      <c r="CC653" s="1396">
        <f t="shared" si="33"/>
        <v>0</v>
      </c>
      <c r="CD653" s="1396"/>
      <c r="CE653" s="1396"/>
      <c r="CF653" s="1396"/>
      <c r="CG653" s="1396"/>
      <c r="CH653" s="1396">
        <f t="shared" si="34"/>
        <v>0</v>
      </c>
      <c r="CI653" s="1396"/>
      <c r="CJ653" s="1396"/>
      <c r="CK653" s="1396"/>
      <c r="CL653" s="1396"/>
      <c r="CM653" s="1396">
        <f t="shared" si="35"/>
        <v>0</v>
      </c>
      <c r="CN653" s="1396"/>
      <c r="CO653" s="1396"/>
      <c r="CP653" s="1396"/>
      <c r="CQ653" s="1396"/>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f t="shared" si="27"/>
        <v>505.90909090909088</v>
      </c>
      <c r="ES653" s="1361"/>
      <c r="ET653" s="1361"/>
      <c r="EU653" s="1361"/>
      <c r="EV653" s="1361"/>
      <c r="EW653" s="1361" t="e">
        <f t="shared" si="28"/>
        <v>#VALUE!</v>
      </c>
      <c r="EX653" s="1361"/>
      <c r="EY653" s="1361"/>
      <c r="EZ653" s="1361"/>
      <c r="FA653" s="1361"/>
    </row>
    <row r="654" spans="1:157" ht="12.95" customHeight="1">
      <c r="A654" s="22"/>
      <c r="B654" t="s">
        <v>17</v>
      </c>
      <c r="G654" s="1454" t="s">
        <v>2650</v>
      </c>
      <c r="H654" s="1454"/>
      <c r="I654" s="1454"/>
      <c r="J654" s="1454"/>
      <c r="K654" s="1454"/>
      <c r="L654" s="1454"/>
      <c r="M654" s="1454"/>
      <c r="N654" s="1454"/>
      <c r="O654" s="1454"/>
      <c r="P654" s="1454"/>
      <c r="Q654" s="1454"/>
      <c r="R654" s="1454"/>
      <c r="T654" s="22"/>
      <c r="U654" t="s">
        <v>17</v>
      </c>
      <c r="Z654" s="1454" t="s">
        <v>2740</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6">
        <f t="shared" si="31"/>
        <v>0</v>
      </c>
      <c r="BT654" s="1396"/>
      <c r="BU654" s="1396"/>
      <c r="BV654" s="1396"/>
      <c r="BW654" s="1396"/>
      <c r="BX654" s="1396">
        <f t="shared" si="32"/>
        <v>0</v>
      </c>
      <c r="BY654" s="1396"/>
      <c r="BZ654" s="1396"/>
      <c r="CA654" s="1396"/>
      <c r="CB654" s="1396"/>
      <c r="CC654" s="1396">
        <f t="shared" si="33"/>
        <v>0</v>
      </c>
      <c r="CD654" s="1396"/>
      <c r="CE654" s="1396"/>
      <c r="CF654" s="1396"/>
      <c r="CG654" s="1396"/>
      <c r="CH654" s="1396">
        <f t="shared" si="34"/>
        <v>0</v>
      </c>
      <c r="CI654" s="1396"/>
      <c r="CJ654" s="1396"/>
      <c r="CK654" s="1396"/>
      <c r="CL654" s="1396"/>
      <c r="CM654" s="1396">
        <f t="shared" si="35"/>
        <v>0</v>
      </c>
      <c r="CN654" s="1396"/>
      <c r="CO654" s="1396"/>
      <c r="CP654" s="1396"/>
      <c r="CQ654" s="1396"/>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f t="shared" si="27"/>
        <v>1009.5454545454545</v>
      </c>
      <c r="ES654" s="1361"/>
      <c r="ET654" s="1361"/>
      <c r="EU654" s="1361"/>
      <c r="EV654" s="1361"/>
      <c r="EW654" s="1361" t="e">
        <f t="shared" si="28"/>
        <v>#VALUE!</v>
      </c>
      <c r="EX654" s="1361"/>
      <c r="EY654" s="1361"/>
      <c r="EZ654" s="1361"/>
      <c r="FA654" s="1361"/>
    </row>
    <row r="655" spans="1:157" ht="12.95" customHeight="1">
      <c r="A655" s="22"/>
      <c r="B655" t="s">
        <v>317</v>
      </c>
      <c r="G655" s="1386" t="s">
        <v>2651</v>
      </c>
      <c r="H655" s="1386"/>
      <c r="I655" s="1386"/>
      <c r="J655" s="1386"/>
      <c r="K655" s="1386"/>
      <c r="L655" s="1386"/>
      <c r="O655" s="33" t="s">
        <v>207</v>
      </c>
      <c r="P655" s="1385"/>
      <c r="Q655" s="1385"/>
      <c r="R655" s="1385"/>
      <c r="T655" s="22"/>
      <c r="U655" t="s">
        <v>317</v>
      </c>
      <c r="Z655" s="1386" t="s">
        <v>2698</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398">
        <f>SUM(BN645:BR654)</f>
        <v>0</v>
      </c>
      <c r="BO655" s="1508"/>
      <c r="BP655" s="1508"/>
      <c r="BQ655" s="1508"/>
      <c r="BR655" s="1399"/>
      <c r="BS655" s="1722">
        <f>SUM(BS645:BW654)</f>
        <v>0</v>
      </c>
      <c r="BT655" s="1723"/>
      <c r="BU655" s="1723"/>
      <c r="BV655" s="1723"/>
      <c r="BW655" s="1724"/>
      <c r="BX655" s="1722">
        <f>SUM(BX645:CB654)</f>
        <v>0</v>
      </c>
      <c r="BY655" s="1723"/>
      <c r="BZ655" s="1723"/>
      <c r="CA655" s="1723"/>
      <c r="CB655" s="1724"/>
      <c r="CC655" s="1722">
        <f>SUM(CC645:CG654)</f>
        <v>0</v>
      </c>
      <c r="CD655" s="1723"/>
      <c r="CE655" s="1723"/>
      <c r="CF655" s="1723"/>
      <c r="CG655" s="1724"/>
      <c r="CH655" s="1722">
        <f>SUM(CH645:CL654)</f>
        <v>0</v>
      </c>
      <c r="CI655" s="1723"/>
      <c r="CJ655" s="1723"/>
      <c r="CK655" s="1723"/>
      <c r="CL655" s="1724"/>
      <c r="CM655" s="1722">
        <f>SUM(CM645:CQ654)</f>
        <v>0</v>
      </c>
      <c r="CN655" s="1723"/>
      <c r="CO655" s="1723"/>
      <c r="CP655" s="1723"/>
      <c r="CQ655" s="1724"/>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2.95" customHeight="1">
      <c r="A656" s="22"/>
      <c r="B656" t="s">
        <v>18</v>
      </c>
      <c r="H656" s="1384" t="s">
        <v>1852</v>
      </c>
      <c r="I656" s="1384"/>
      <c r="J656" s="1384"/>
      <c r="K656" s="1384"/>
      <c r="L656" s="1384"/>
      <c r="M656" s="1384"/>
      <c r="N656" s="1384"/>
      <c r="O656" s="1384"/>
      <c r="P656" s="1384"/>
      <c r="Q656" s="1384"/>
      <c r="R656" s="1384"/>
      <c r="T656" s="22"/>
      <c r="U656" t="s">
        <v>18</v>
      </c>
      <c r="AA656" s="1384" t="s">
        <v>2748</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2.95" customHeight="1">
      <c r="A659" s="55" t="s">
        <v>773</v>
      </c>
      <c r="B659" t="s">
        <v>472</v>
      </c>
      <c r="G659" s="1507">
        <f>C631</f>
        <v>0</v>
      </c>
      <c r="H659" s="1507"/>
      <c r="I659" s="1507"/>
      <c r="J659" s="1507"/>
      <c r="K659" s="1507"/>
      <c r="L659" s="1507"/>
      <c r="M659" s="1507"/>
      <c r="N659" s="1507"/>
      <c r="O659" s="1507"/>
      <c r="P659" s="1507"/>
      <c r="Q659" s="1507"/>
      <c r="R659" s="1507"/>
      <c r="T659" s="55" t="s">
        <v>593</v>
      </c>
      <c r="U659" t="s">
        <v>472</v>
      </c>
      <c r="Z659" s="1507">
        <f>C632</f>
        <v>0</v>
      </c>
      <c r="AA659" s="1507"/>
      <c r="AB659" s="1507"/>
      <c r="AC659" s="1507"/>
      <c r="AD659" s="1507"/>
      <c r="AE659" s="1507"/>
      <c r="AF659" s="1507"/>
      <c r="AG659" s="1507"/>
      <c r="AH659" s="1507"/>
      <c r="AI659" s="1507"/>
      <c r="AJ659" s="1507"/>
      <c r="AK659" s="150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2">
        <f>BN632+BN641+BN655</f>
        <v>0</v>
      </c>
      <c r="BO660" s="1723"/>
      <c r="BP660" s="1723"/>
      <c r="BQ660" s="1723"/>
      <c r="BR660" s="1724"/>
      <c r="BS660" s="1722">
        <f>BS632+BS641+BS655</f>
        <v>64</v>
      </c>
      <c r="BT660" s="1723"/>
      <c r="BU660" s="1723"/>
      <c r="BV660" s="1723"/>
      <c r="BW660" s="1724"/>
      <c r="BX660" s="1722">
        <f>BX632+BX641+BX655</f>
        <v>48</v>
      </c>
      <c r="BY660" s="1723"/>
      <c r="BZ660" s="1723"/>
      <c r="CA660" s="1723"/>
      <c r="CB660" s="1724"/>
      <c r="CC660" s="1722">
        <f>CC632+CC641+CC655</f>
        <v>57</v>
      </c>
      <c r="CD660" s="1723"/>
      <c r="CE660" s="1723"/>
      <c r="CF660" s="1723"/>
      <c r="CG660" s="1724"/>
      <c r="CH660" s="1722">
        <f>CH632+CH641+CH655</f>
        <v>22</v>
      </c>
      <c r="CI660" s="1723"/>
      <c r="CJ660" s="1723"/>
      <c r="CK660" s="1723"/>
      <c r="CL660" s="1724"/>
      <c r="CM660" s="1388">
        <f>CM655+CM641+CM632</f>
        <v>0</v>
      </c>
      <c r="CN660" s="1389"/>
      <c r="CO660" s="1389"/>
      <c r="CP660" s="1389"/>
      <c r="CQ660" s="1390"/>
      <c r="CR660" s="3"/>
      <c r="CS660" s="895">
        <f>CS634+CS658</f>
        <v>415</v>
      </c>
      <c r="CT660" s="57" t="s">
        <v>2056</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2.95" customHeight="1">
      <c r="A661" s="22"/>
      <c r="B661" t="s">
        <v>589</v>
      </c>
      <c r="G661" s="1384"/>
      <c r="H661" s="1384"/>
      <c r="I661" s="1384"/>
      <c r="J661" s="1384"/>
      <c r="K661" s="1384"/>
      <c r="L661" s="1384"/>
      <c r="M661" s="1384"/>
      <c r="N661" s="1384"/>
      <c r="O661" s="1384"/>
      <c r="P661" s="1384"/>
      <c r="Q661" s="1384"/>
      <c r="R661" s="1384"/>
      <c r="T661" s="22"/>
      <c r="U661" t="s">
        <v>589</v>
      </c>
      <c r="Z661" s="1454"/>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54"/>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2.95" customHeight="1">
      <c r="A663" s="22"/>
      <c r="B663" t="s">
        <v>317</v>
      </c>
      <c r="G663" s="1386"/>
      <c r="H663" s="1386"/>
      <c r="I663" s="1386"/>
      <c r="J663" s="1386"/>
      <c r="K663" s="1386"/>
      <c r="L663" s="1386"/>
      <c r="O663" s="33" t="s">
        <v>207</v>
      </c>
      <c r="P663" s="1385"/>
      <c r="Q663" s="1385"/>
      <c r="R663" s="1385"/>
      <c r="T663" s="22"/>
      <c r="U663" t="s">
        <v>317</v>
      </c>
      <c r="Z663" s="1386"/>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2.95" customHeight="1">
      <c r="A665" s="22"/>
      <c r="B665" t="s">
        <v>20</v>
      </c>
      <c r="N665" s="1380" t="s">
        <v>678</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2.95" customHeight="1">
      <c r="A667" s="55" t="s">
        <v>464</v>
      </c>
      <c r="B667" t="s">
        <v>472</v>
      </c>
      <c r="G667" s="1507">
        <f>C633</f>
        <v>0</v>
      </c>
      <c r="H667" s="1507"/>
      <c r="I667" s="1507"/>
      <c r="J667" s="1507"/>
      <c r="K667" s="1507"/>
      <c r="L667" s="1507"/>
      <c r="M667" s="1507"/>
      <c r="N667" s="1507"/>
      <c r="O667" s="1507"/>
      <c r="P667" s="1507"/>
      <c r="Q667" s="1507"/>
      <c r="R667" s="1507"/>
      <c r="T667" s="55" t="s">
        <v>465</v>
      </c>
      <c r="U667" t="s">
        <v>472</v>
      </c>
      <c r="Z667" s="1507">
        <f>C634</f>
        <v>0</v>
      </c>
      <c r="AA667" s="1507"/>
      <c r="AB667" s="1507"/>
      <c r="AC667" s="1507"/>
      <c r="AD667" s="1507"/>
      <c r="AE667" s="1507"/>
      <c r="AF667" s="1507"/>
      <c r="AG667" s="1507"/>
      <c r="AH667" s="1507"/>
      <c r="AI667" s="1507"/>
      <c r="AJ667" s="1507"/>
      <c r="AK667" s="1507"/>
      <c r="AZ667" s="3"/>
      <c r="BA667" s="118">
        <f t="shared" ref="BA667:BA699" si="48">IF($G718=0,"N/A",VLOOKUP($T$189,TC_Rent,(MATCH($B718,bedrooms,FALSE))))</f>
        <v>2364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2364</v>
      </c>
      <c r="BB668" s="3"/>
      <c r="BC668" s="3"/>
      <c r="BD668" s="3"/>
      <c r="BE668" s="3"/>
      <c r="BF668" s="218"/>
      <c r="BG668" s="315">
        <f t="shared" ref="BG668:BG700" si="49">G718</f>
        <v>7</v>
      </c>
      <c r="BH668" s="319">
        <f t="shared" ref="BH668:BH702" si="50">IF($BG$703=0,0,BG668/$BG$703)</f>
        <v>3.7037037037037035E-2</v>
      </c>
      <c r="BI668" s="320">
        <f t="shared" ref="BI668:BI691" si="51">IF(BH668=0,"",BH668*AC718)</f>
        <v>1.111111111111111E-2</v>
      </c>
      <c r="BJ668" s="3"/>
      <c r="BK668" s="3"/>
      <c r="BL668" s="3"/>
      <c r="BM668" s="3"/>
      <c r="BN668" s="3"/>
      <c r="BO668" s="3"/>
      <c r="BT668" s="315">
        <f t="shared" ref="BT668:BT700" si="52">G718</f>
        <v>7</v>
      </c>
      <c r="BU668" s="319">
        <f t="shared" ref="BU668:BU702" si="53">IF($BT$703=0,0,BT668/$BT$703)</f>
        <v>3.7037037037037035E-2</v>
      </c>
      <c r="BV668" s="320">
        <f t="shared" ref="BV668:BV700" si="54">IF(BU668=0,"",BU668*AH718)</f>
        <v>1.1107977690041987E-2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54"/>
      <c r="AA669" s="1454"/>
      <c r="AB669" s="1454"/>
      <c r="AC669" s="1454"/>
      <c r="AD669" s="1454"/>
      <c r="AE669" s="1454"/>
      <c r="AF669" s="1454"/>
      <c r="AG669" s="1454"/>
      <c r="AH669" s="1454"/>
      <c r="AI669" s="1454"/>
      <c r="AJ669" s="1454"/>
      <c r="AK669" s="1454"/>
      <c r="AZ669" s="3"/>
      <c r="BA669" s="118">
        <f t="shared" si="48"/>
        <v>2364</v>
      </c>
      <c r="BB669" s="3"/>
      <c r="BC669" s="3"/>
      <c r="BD669" s="3"/>
      <c r="BE669" s="3"/>
      <c r="BF669" s="218"/>
      <c r="BG669" s="316">
        <f t="shared" si="49"/>
        <v>9</v>
      </c>
      <c r="BH669" s="319">
        <f t="shared" si="50"/>
        <v>4.7619047619047616E-2</v>
      </c>
      <c r="BI669" s="320">
        <f t="shared" si="51"/>
        <v>2.3809523809523808E-2</v>
      </c>
      <c r="BJ669" s="3"/>
      <c r="BK669" s="3"/>
      <c r="BL669" s="3"/>
      <c r="BM669" s="3"/>
      <c r="BN669" s="3"/>
      <c r="BO669" s="3"/>
      <c r="BT669" s="316">
        <f t="shared" si="52"/>
        <v>9</v>
      </c>
      <c r="BU669" s="319">
        <f t="shared" si="53"/>
        <v>4.7619047619047616E-2</v>
      </c>
      <c r="BV669" s="320">
        <f t="shared" si="54"/>
        <v>2.3809523809523808E-2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4"/>
      <c r="AA670" s="1454"/>
      <c r="AB670" s="1454"/>
      <c r="AC670" s="1454"/>
      <c r="AD670" s="1454"/>
      <c r="AE670" s="1454"/>
      <c r="AF670" s="1454"/>
      <c r="AG670" s="1454"/>
      <c r="AH670" s="1454"/>
      <c r="AI670" s="1454"/>
      <c r="AJ670" s="1454"/>
      <c r="AK670" s="1454"/>
      <c r="AZ670" s="3"/>
      <c r="BA670" s="118">
        <f t="shared" si="48"/>
        <v>2364</v>
      </c>
      <c r="BB670" s="3"/>
      <c r="BC670" s="3"/>
      <c r="BD670" s="3"/>
      <c r="BE670" s="3"/>
      <c r="BF670" s="218"/>
      <c r="BG670" s="316">
        <f t="shared" si="49"/>
        <v>18</v>
      </c>
      <c r="BH670" s="319">
        <f t="shared" si="50"/>
        <v>9.5238095238095233E-2</v>
      </c>
      <c r="BI670" s="320">
        <f t="shared" si="51"/>
        <v>5.7142857142857134E-2</v>
      </c>
      <c r="BJ670" s="3"/>
      <c r="BK670" s="3"/>
      <c r="BL670" s="3"/>
      <c r="BM670" s="3"/>
      <c r="BN670" s="3"/>
      <c r="BO670" s="3"/>
      <c r="BT670" s="316">
        <f t="shared" si="52"/>
        <v>18</v>
      </c>
      <c r="BU670" s="319">
        <f t="shared" si="53"/>
        <v>9.5238095238095233E-2</v>
      </c>
      <c r="BV670" s="320">
        <f t="shared" si="54"/>
        <v>5.7126742405930221E-2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1233.359375</v>
      </c>
      <c r="ED670" s="1361"/>
      <c r="EE670" s="1361"/>
      <c r="EF670" s="1361"/>
      <c r="EG670" s="1361"/>
      <c r="EH670" s="1361">
        <f>SUMIF(EH635:EL669,"&gt;0")</f>
        <v>1471.9347826086955</v>
      </c>
      <c r="EI670" s="1361"/>
      <c r="EJ670" s="1361"/>
      <c r="EK670" s="1361"/>
      <c r="EL670" s="1361"/>
      <c r="EM670" s="1361">
        <f>SUMIF(EM635:EQ669,"&gt;0")</f>
        <v>1679.4912280701753</v>
      </c>
      <c r="EN670" s="1361"/>
      <c r="EO670" s="1361"/>
      <c r="EP670" s="1361"/>
      <c r="EQ670" s="1361"/>
      <c r="ER670" s="1361">
        <f>SUMIF(ER635:EV669,"&gt;0")</f>
        <v>1821.8636363636363</v>
      </c>
      <c r="ES670" s="1361"/>
      <c r="ET670" s="1361"/>
      <c r="EU670" s="1361"/>
      <c r="EV670" s="1361"/>
      <c r="EW670" s="1361">
        <f>SUMIF(EW635:FA669,"&gt;0")</f>
        <v>0</v>
      </c>
      <c r="EX670" s="1361"/>
      <c r="EY670" s="1361"/>
      <c r="EZ670" s="1361"/>
      <c r="FA670" s="1361"/>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2836</v>
      </c>
      <c r="BB671" s="3"/>
      <c r="BC671" s="3"/>
      <c r="BD671" s="3"/>
      <c r="BE671" s="3"/>
      <c r="BF671" s="218"/>
      <c r="BG671" s="316">
        <f t="shared" si="49"/>
        <v>30</v>
      </c>
      <c r="BH671" s="319">
        <f t="shared" si="50"/>
        <v>0.15873015873015872</v>
      </c>
      <c r="BI671" s="320">
        <f t="shared" si="51"/>
        <v>0.11111111111111109</v>
      </c>
      <c r="BJ671" s="3"/>
      <c r="BK671" s="3"/>
      <c r="BL671" s="3"/>
      <c r="BM671" s="3"/>
      <c r="BN671" s="3"/>
      <c r="BO671" s="3"/>
      <c r="BT671" s="316">
        <f t="shared" si="52"/>
        <v>30</v>
      </c>
      <c r="BU671" s="319">
        <f t="shared" si="53"/>
        <v>0.15873015873015872</v>
      </c>
      <c r="BV671" s="320">
        <f t="shared" si="54"/>
        <v>0.11112454005855021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2836</v>
      </c>
      <c r="BB672" s="3"/>
      <c r="BC672" s="3"/>
      <c r="BD672" s="3"/>
      <c r="BE672" s="3"/>
      <c r="BF672" s="218"/>
      <c r="BG672" s="316">
        <f t="shared" si="49"/>
        <v>5</v>
      </c>
      <c r="BH672" s="319">
        <f t="shared" si="50"/>
        <v>2.6455026455026454E-2</v>
      </c>
      <c r="BI672" s="320">
        <f t="shared" si="51"/>
        <v>7.9365079365079361E-3</v>
      </c>
      <c r="BJ672" s="3"/>
      <c r="BK672" s="3"/>
      <c r="BL672" s="3"/>
      <c r="BM672" s="3"/>
      <c r="BN672" s="3"/>
      <c r="BO672" s="3"/>
      <c r="BT672" s="316">
        <f t="shared" si="52"/>
        <v>5</v>
      </c>
      <c r="BU672" s="319">
        <f t="shared" si="53"/>
        <v>2.6455026455026454E-2</v>
      </c>
      <c r="BV672" s="320">
        <f t="shared" si="54"/>
        <v>7.9383735942269076E-3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f t="shared" si="48"/>
        <v>2836</v>
      </c>
      <c r="BB673" s="3"/>
      <c r="BC673" s="3"/>
      <c r="BD673" s="3"/>
      <c r="BE673" s="3"/>
      <c r="BF673" s="218"/>
      <c r="BG673" s="316">
        <f t="shared" si="49"/>
        <v>7</v>
      </c>
      <c r="BH673" s="319">
        <f t="shared" si="50"/>
        <v>3.7037037037037035E-2</v>
      </c>
      <c r="BI673" s="320">
        <f t="shared" si="51"/>
        <v>1.8518518518518517E-2</v>
      </c>
      <c r="BJ673" s="3"/>
      <c r="BK673" s="3"/>
      <c r="BL673" s="3"/>
      <c r="BM673" s="3"/>
      <c r="BN673" s="3"/>
      <c r="BO673" s="3"/>
      <c r="BT673" s="316">
        <f t="shared" si="52"/>
        <v>7</v>
      </c>
      <c r="BU673" s="319">
        <f t="shared" si="53"/>
        <v>3.7037037037037035E-2</v>
      </c>
      <c r="BV673" s="320">
        <f t="shared" si="54"/>
        <v>1.8518518518518517E-2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2836</v>
      </c>
      <c r="BB674" s="3"/>
      <c r="BC674" s="3"/>
      <c r="BD674" s="3"/>
      <c r="BE674" s="3"/>
      <c r="BF674" s="218"/>
      <c r="BG674" s="316">
        <f t="shared" si="49"/>
        <v>13</v>
      </c>
      <c r="BH674" s="319">
        <f t="shared" si="50"/>
        <v>6.8783068783068779E-2</v>
      </c>
      <c r="BI674" s="320">
        <f t="shared" si="51"/>
        <v>4.1269841269841269E-2</v>
      </c>
      <c r="BJ674" s="3"/>
      <c r="BK674" s="3"/>
      <c r="BL674" s="3"/>
      <c r="BM674" s="3"/>
      <c r="BN674" s="3"/>
      <c r="BO674" s="3"/>
      <c r="BT674" s="316">
        <f t="shared" si="52"/>
        <v>13</v>
      </c>
      <c r="BU674" s="319">
        <f t="shared" si="53"/>
        <v>6.8783068783068779E-2</v>
      </c>
      <c r="BV674" s="320">
        <f t="shared" si="54"/>
        <v>4.1279542689979923E-2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7">
        <f>C635</f>
        <v>0</v>
      </c>
      <c r="H675" s="1507"/>
      <c r="I675" s="1507"/>
      <c r="J675" s="1507"/>
      <c r="K675" s="1507"/>
      <c r="L675" s="1507"/>
      <c r="M675" s="1507"/>
      <c r="N675" s="1507"/>
      <c r="O675" s="1507"/>
      <c r="P675" s="1507"/>
      <c r="Q675" s="1507"/>
      <c r="R675" s="1507"/>
      <c r="T675" s="55" t="s">
        <v>655</v>
      </c>
      <c r="U675" t="s">
        <v>472</v>
      </c>
      <c r="Z675" s="1507">
        <f>C636</f>
        <v>0</v>
      </c>
      <c r="AA675" s="1507"/>
      <c r="AB675" s="1507"/>
      <c r="AC675" s="1507"/>
      <c r="AD675" s="1507"/>
      <c r="AE675" s="1507"/>
      <c r="AF675" s="1507"/>
      <c r="AG675" s="1507"/>
      <c r="AH675" s="1507"/>
      <c r="AI675" s="1507"/>
      <c r="AJ675" s="1507"/>
      <c r="AK675" s="1507"/>
      <c r="AZ675" s="3"/>
      <c r="BA675" s="118">
        <f t="shared" si="48"/>
        <v>3278</v>
      </c>
      <c r="BB675" s="3"/>
      <c r="BC675" s="3"/>
      <c r="BD675" s="3"/>
      <c r="BE675" s="3"/>
      <c r="BF675" s="218"/>
      <c r="BG675" s="316">
        <f t="shared" si="49"/>
        <v>21</v>
      </c>
      <c r="BH675" s="319">
        <f t="shared" si="50"/>
        <v>0.1111111111111111</v>
      </c>
      <c r="BI675" s="320">
        <f t="shared" si="51"/>
        <v>7.7777777777777765E-2</v>
      </c>
      <c r="BJ675" s="3"/>
      <c r="BK675" s="3"/>
      <c r="BL675" s="3"/>
      <c r="BM675" s="3"/>
      <c r="BN675" s="3"/>
      <c r="BO675" s="3"/>
      <c r="BT675" s="316">
        <f t="shared" si="52"/>
        <v>21</v>
      </c>
      <c r="BU675" s="319">
        <f t="shared" si="53"/>
        <v>0.1111111111111111</v>
      </c>
      <c r="BV675" s="320">
        <f t="shared" si="54"/>
        <v>7.7809120827456515E-2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3278</v>
      </c>
      <c r="BB676" s="3"/>
      <c r="BC676" s="3"/>
      <c r="BD676" s="3"/>
      <c r="BE676" s="3"/>
      <c r="BF676" s="218"/>
      <c r="BG676" s="316">
        <f t="shared" si="49"/>
        <v>2</v>
      </c>
      <c r="BH676" s="319">
        <f t="shared" si="50"/>
        <v>1.0582010582010581E-2</v>
      </c>
      <c r="BI676" s="320">
        <f t="shared" si="51"/>
        <v>3.1746031746031742E-3</v>
      </c>
      <c r="BJ676" s="3"/>
      <c r="BK676" s="3"/>
      <c r="BL676" s="3"/>
      <c r="BM676" s="3"/>
      <c r="BN676" s="3"/>
      <c r="BO676" s="3"/>
      <c r="BT676" s="316">
        <f t="shared" si="52"/>
        <v>2</v>
      </c>
      <c r="BU676" s="319">
        <f t="shared" si="53"/>
        <v>1.0582010582010581E-2</v>
      </c>
      <c r="BV676" s="320">
        <f t="shared" si="54"/>
        <v>3.1733118981441127E-3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54"/>
      <c r="AA677" s="1454"/>
      <c r="AB677" s="1454"/>
      <c r="AC677" s="1454"/>
      <c r="AD677" s="1454"/>
      <c r="AE677" s="1454"/>
      <c r="AF677" s="1454"/>
      <c r="AG677" s="1454"/>
      <c r="AH677" s="1454"/>
      <c r="AI677" s="1454"/>
      <c r="AJ677" s="1454"/>
      <c r="AK677" s="1454"/>
      <c r="AZ677" s="3"/>
      <c r="BA677" s="118">
        <f t="shared" si="48"/>
        <v>3278</v>
      </c>
      <c r="BB677" s="3"/>
      <c r="BC677" s="3"/>
      <c r="BD677" s="3"/>
      <c r="BE677" s="3"/>
      <c r="BF677" s="218"/>
      <c r="BG677" s="316">
        <f t="shared" si="49"/>
        <v>2</v>
      </c>
      <c r="BH677" s="319">
        <f t="shared" si="50"/>
        <v>1.0582010582010581E-2</v>
      </c>
      <c r="BI677" s="320">
        <f t="shared" si="51"/>
        <v>5.2910052910052907E-3</v>
      </c>
      <c r="BJ677" s="3"/>
      <c r="BK677" s="3"/>
      <c r="BL677" s="3"/>
      <c r="BM677" s="3"/>
      <c r="BN677" s="3"/>
      <c r="BO677" s="3"/>
      <c r="BT677" s="316">
        <f t="shared" si="52"/>
        <v>2</v>
      </c>
      <c r="BU677" s="319">
        <f t="shared" si="53"/>
        <v>1.0582010582010581E-2</v>
      </c>
      <c r="BV677" s="320">
        <f t="shared" si="54"/>
        <v>5.2910052910052907E-3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4"/>
      <c r="AA678" s="1454"/>
      <c r="AB678" s="1454"/>
      <c r="AC678" s="1454"/>
      <c r="AD678" s="1454"/>
      <c r="AE678" s="1454"/>
      <c r="AF678" s="1454"/>
      <c r="AG678" s="1454"/>
      <c r="AH678" s="1454"/>
      <c r="AI678" s="1454"/>
      <c r="AJ678" s="1454"/>
      <c r="AK678" s="1454"/>
      <c r="AZ678" s="3"/>
      <c r="BA678" s="118">
        <f t="shared" si="48"/>
        <v>3278</v>
      </c>
      <c r="BB678" s="3"/>
      <c r="BC678" s="3"/>
      <c r="BD678" s="3"/>
      <c r="BE678" s="3"/>
      <c r="BF678" s="218"/>
      <c r="BG678" s="316">
        <f t="shared" si="49"/>
        <v>4</v>
      </c>
      <c r="BH678" s="319">
        <f t="shared" si="50"/>
        <v>2.1164021164021163E-2</v>
      </c>
      <c r="BI678" s="320">
        <f t="shared" si="51"/>
        <v>1.2698412698412697E-2</v>
      </c>
      <c r="BJ678" s="3"/>
      <c r="BK678" s="3"/>
      <c r="BL678" s="3"/>
      <c r="BM678" s="3"/>
      <c r="BN678" s="3"/>
      <c r="BO678" s="3"/>
      <c r="BT678" s="316">
        <f t="shared" si="52"/>
        <v>4</v>
      </c>
      <c r="BU678" s="319">
        <f t="shared" si="53"/>
        <v>2.1164021164021163E-2</v>
      </c>
      <c r="BV678" s="320">
        <f t="shared" si="54"/>
        <v>1.2699703974871759E-2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48"/>
        <v>3278</v>
      </c>
      <c r="BB679" s="3"/>
      <c r="BC679" s="3"/>
      <c r="BD679" s="3"/>
      <c r="BE679" s="3"/>
      <c r="BF679" s="218"/>
      <c r="BG679" s="316">
        <f t="shared" si="49"/>
        <v>7</v>
      </c>
      <c r="BH679" s="319">
        <f t="shared" si="50"/>
        <v>3.7037037037037035E-2</v>
      </c>
      <c r="BI679" s="320">
        <f t="shared" si="51"/>
        <v>2.5925925925925922E-2</v>
      </c>
      <c r="BJ679" s="3"/>
      <c r="BK679" s="3"/>
      <c r="BL679" s="3"/>
      <c r="BM679" s="3"/>
      <c r="BN679" s="3"/>
      <c r="BO679" s="3"/>
      <c r="BT679" s="316">
        <f t="shared" si="52"/>
        <v>7</v>
      </c>
      <c r="BU679" s="319">
        <f t="shared" si="53"/>
        <v>3.7037037037037035E-2</v>
      </c>
      <c r="BV679" s="320">
        <f t="shared" si="54"/>
        <v>2.593044539353264E-2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3278</v>
      </c>
      <c r="BB680" s="3"/>
      <c r="BC680" s="3"/>
      <c r="BD680" s="3"/>
      <c r="BE680" s="3"/>
      <c r="BF680" s="218"/>
      <c r="BG680" s="316">
        <f t="shared" si="49"/>
        <v>5</v>
      </c>
      <c r="BH680" s="319">
        <f t="shared" si="50"/>
        <v>2.6455026455026454E-2</v>
      </c>
      <c r="BI680" s="320">
        <f t="shared" si="51"/>
        <v>7.9365079365079361E-3</v>
      </c>
      <c r="BJ680" s="3"/>
      <c r="BK680" s="3"/>
      <c r="BL680" s="3"/>
      <c r="BM680" s="3"/>
      <c r="BN680" s="3"/>
      <c r="BO680" s="3"/>
      <c r="BT680" s="316">
        <f t="shared" si="52"/>
        <v>5</v>
      </c>
      <c r="BU680" s="319">
        <f t="shared" si="53"/>
        <v>2.6455026455026454E-2</v>
      </c>
      <c r="BV680" s="320">
        <f t="shared" si="54"/>
        <v>7.9332797453602819E-3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f t="shared" si="48"/>
        <v>3278</v>
      </c>
      <c r="BB681" s="3"/>
      <c r="BC681" s="3"/>
      <c r="BD681" s="3"/>
      <c r="BE681" s="3"/>
      <c r="BF681" s="218"/>
      <c r="BG681" s="316">
        <f t="shared" si="49"/>
        <v>6</v>
      </c>
      <c r="BH681" s="319">
        <f t="shared" si="50"/>
        <v>3.1746031746031744E-2</v>
      </c>
      <c r="BI681" s="320">
        <f t="shared" si="51"/>
        <v>1.5873015873015872E-2</v>
      </c>
      <c r="BJ681" s="3"/>
      <c r="BK681" s="3"/>
      <c r="BL681" s="3"/>
      <c r="BM681" s="3"/>
      <c r="BN681" s="3"/>
      <c r="BO681" s="3"/>
      <c r="BT681" s="316">
        <f t="shared" si="52"/>
        <v>6</v>
      </c>
      <c r="BU681" s="319">
        <f t="shared" si="53"/>
        <v>3.1746031746031744E-2</v>
      </c>
      <c r="BV681" s="320">
        <f t="shared" si="54"/>
        <v>1.5873015873015872E-2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3278</v>
      </c>
      <c r="BB682" s="3"/>
      <c r="BC682" s="3"/>
      <c r="BD682" s="3"/>
      <c r="BE682" s="3"/>
      <c r="BF682" s="218"/>
      <c r="BG682" s="316">
        <f t="shared" si="49"/>
        <v>11</v>
      </c>
      <c r="BH682" s="319">
        <f t="shared" si="50"/>
        <v>5.8201058201058198E-2</v>
      </c>
      <c r="BI682" s="320">
        <f t="shared" si="51"/>
        <v>3.4920634920634915E-2</v>
      </c>
      <c r="BJ682" s="3"/>
      <c r="BK682" s="3"/>
      <c r="BL682" s="3"/>
      <c r="BM682" s="3"/>
      <c r="BN682" s="3"/>
      <c r="BO682" s="3"/>
      <c r="BT682" s="316">
        <f t="shared" si="52"/>
        <v>11</v>
      </c>
      <c r="BU682" s="319">
        <f t="shared" si="53"/>
        <v>5.8201058201058198E-2</v>
      </c>
      <c r="BV682" s="320">
        <f t="shared" si="54"/>
        <v>3.4924185930897335E-2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7">
        <f>C637</f>
        <v>0</v>
      </c>
      <c r="H683" s="1507"/>
      <c r="I683" s="1507"/>
      <c r="J683" s="1507"/>
      <c r="K683" s="1507"/>
      <c r="L683" s="1507"/>
      <c r="M683" s="1507"/>
      <c r="N683" s="1507"/>
      <c r="O683" s="1507"/>
      <c r="P683" s="1507"/>
      <c r="Q683" s="1507"/>
      <c r="R683" s="1507"/>
      <c r="T683" s="55" t="s">
        <v>364</v>
      </c>
      <c r="U683" t="s">
        <v>472</v>
      </c>
      <c r="Z683" s="1507">
        <f>C638</f>
        <v>0</v>
      </c>
      <c r="AA683" s="1507"/>
      <c r="AB683" s="1507"/>
      <c r="AC683" s="1507"/>
      <c r="AD683" s="1507"/>
      <c r="AE683" s="1507"/>
      <c r="AF683" s="1507"/>
      <c r="AG683" s="1507"/>
      <c r="AH683" s="1507"/>
      <c r="AI683" s="1507"/>
      <c r="AJ683" s="1507"/>
      <c r="AK683" s="1507"/>
      <c r="AZ683" s="3"/>
      <c r="BA683" s="118">
        <f t="shared" si="48"/>
        <v>3656</v>
      </c>
      <c r="BB683" s="3"/>
      <c r="BC683" s="3"/>
      <c r="BD683" s="3"/>
      <c r="BE683" s="3"/>
      <c r="BF683" s="218"/>
      <c r="BG683" s="316">
        <f t="shared" si="49"/>
        <v>20</v>
      </c>
      <c r="BH683" s="319">
        <f t="shared" si="50"/>
        <v>0.10582010582010581</v>
      </c>
      <c r="BI683" s="320">
        <f t="shared" si="51"/>
        <v>7.407407407407407E-2</v>
      </c>
      <c r="BJ683" s="3"/>
      <c r="BK683" s="3"/>
      <c r="BL683" s="3"/>
      <c r="BM683" s="3"/>
      <c r="BN683" s="3"/>
      <c r="BO683" s="3"/>
      <c r="BT683" s="316">
        <f t="shared" si="52"/>
        <v>20</v>
      </c>
      <c r="BU683" s="319">
        <f t="shared" si="53"/>
        <v>0.10582010582010581</v>
      </c>
      <c r="BV683" s="320">
        <f t="shared" si="54"/>
        <v>7.4086986838664687E-2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f t="shared" si="48"/>
        <v>3656</v>
      </c>
      <c r="BB684" s="3"/>
      <c r="BC684" s="3"/>
      <c r="BD684" s="3"/>
      <c r="BE684" s="3"/>
      <c r="BF684" s="218"/>
      <c r="BG684" s="316">
        <f t="shared" si="49"/>
        <v>3</v>
      </c>
      <c r="BH684" s="319">
        <f t="shared" si="50"/>
        <v>1.5873015873015872E-2</v>
      </c>
      <c r="BI684" s="320">
        <f t="shared" si="51"/>
        <v>4.7619047619047615E-3</v>
      </c>
      <c r="BJ684" s="3"/>
      <c r="BK684" s="3"/>
      <c r="BL684" s="3"/>
      <c r="BM684" s="3"/>
      <c r="BN684" s="3"/>
      <c r="BO684" s="3"/>
      <c r="BT684" s="316">
        <f t="shared" si="52"/>
        <v>3</v>
      </c>
      <c r="BU684" s="319">
        <f t="shared" si="53"/>
        <v>1.5873015873015872E-2</v>
      </c>
      <c r="BV684" s="320">
        <f t="shared" si="54"/>
        <v>4.7627730888124761E-3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54"/>
      <c r="AA685" s="1454"/>
      <c r="AB685" s="1454"/>
      <c r="AC685" s="1454"/>
      <c r="AD685" s="1454"/>
      <c r="AE685" s="1454"/>
      <c r="AF685" s="1454"/>
      <c r="AG685" s="1454"/>
      <c r="AH685" s="1454"/>
      <c r="AI685" s="1454"/>
      <c r="AJ685" s="1454"/>
      <c r="AK685" s="1454"/>
      <c r="AZ685" s="3"/>
      <c r="BA685" s="118">
        <f t="shared" si="48"/>
        <v>3656</v>
      </c>
      <c r="BB685" s="3"/>
      <c r="BC685" s="3"/>
      <c r="BD685" s="3"/>
      <c r="BE685" s="3"/>
      <c r="BF685" s="218"/>
      <c r="BG685" s="316">
        <f t="shared" si="49"/>
        <v>3</v>
      </c>
      <c r="BH685" s="319">
        <f t="shared" si="50"/>
        <v>1.5873015873015872E-2</v>
      </c>
      <c r="BI685" s="320">
        <f t="shared" si="51"/>
        <v>7.9365079365079361E-3</v>
      </c>
      <c r="BJ685" s="3"/>
      <c r="BK685" s="3"/>
      <c r="BL685" s="3"/>
      <c r="BM685" s="3"/>
      <c r="BN685" s="3"/>
      <c r="BO685" s="3"/>
      <c r="BT685" s="316">
        <f t="shared" si="52"/>
        <v>3</v>
      </c>
      <c r="BU685" s="319">
        <f t="shared" si="53"/>
        <v>1.5873015873015872E-2</v>
      </c>
      <c r="BV685" s="320">
        <f t="shared" si="54"/>
        <v>7.9365079365079361E-3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4"/>
      <c r="AA686" s="1454"/>
      <c r="AB686" s="1454"/>
      <c r="AC686" s="1454"/>
      <c r="AD686" s="1454"/>
      <c r="AE686" s="1454"/>
      <c r="AF686" s="1454"/>
      <c r="AG686" s="1454"/>
      <c r="AH686" s="1454"/>
      <c r="AI686" s="1454"/>
      <c r="AJ686" s="1454"/>
      <c r="AK686" s="1454"/>
      <c r="AZ686" s="3"/>
      <c r="BA686" s="118">
        <f t="shared" si="48"/>
        <v>3656</v>
      </c>
      <c r="BB686" s="3"/>
      <c r="BC686" s="3"/>
      <c r="BD686" s="3"/>
      <c r="BE686" s="3"/>
      <c r="BF686" s="218"/>
      <c r="BG686" s="316">
        <f t="shared" si="49"/>
        <v>6</v>
      </c>
      <c r="BH686" s="319">
        <f t="shared" si="50"/>
        <v>3.1746031746031744E-2</v>
      </c>
      <c r="BI686" s="320">
        <f t="shared" si="51"/>
        <v>1.9047619047619046E-2</v>
      </c>
      <c r="BJ686" s="3"/>
      <c r="BK686" s="3"/>
      <c r="BL686" s="3"/>
      <c r="BM686" s="3"/>
      <c r="BN686" s="3"/>
      <c r="BO686" s="3"/>
      <c r="BT686" s="316">
        <f t="shared" si="52"/>
        <v>6</v>
      </c>
      <c r="BU686" s="319">
        <f t="shared" si="53"/>
        <v>3.1746031746031744E-2</v>
      </c>
      <c r="BV686" s="320">
        <f t="shared" si="54"/>
        <v>1.9051092355249905E-2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10</v>
      </c>
      <c r="BH687" s="319">
        <f t="shared" si="50"/>
        <v>5.2910052910052907E-2</v>
      </c>
      <c r="BI687" s="320">
        <f t="shared" si="51"/>
        <v>3.7037037037037035E-2</v>
      </c>
      <c r="BJ687" s="3"/>
      <c r="BK687" s="3"/>
      <c r="BL687" s="3"/>
      <c r="BM687" s="3"/>
      <c r="BN687" s="3"/>
      <c r="BO687" s="3"/>
      <c r="BT687" s="316">
        <f t="shared" si="52"/>
        <v>10</v>
      </c>
      <c r="BU687" s="319">
        <f t="shared" si="53"/>
        <v>5.2910052910052907E-2</v>
      </c>
      <c r="BV687" s="320">
        <f t="shared" si="54"/>
        <v>3.7048614729139888E-2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678</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8">
        <v>45405</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8">
        <v>45689</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2">
        <f>'Sources and Uses Budget'!N135</f>
        <v>0.50862739071872232</v>
      </c>
      <c r="AF699" s="1582"/>
      <c r="AG699" s="1582"/>
      <c r="AH699" s="1582"/>
      <c r="AI699" s="158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7" t="str">
        <f>H335</f>
        <v>CalHFA</v>
      </c>
      <c r="X700" s="1507"/>
      <c r="Y700" s="1507"/>
      <c r="Z700" s="1507"/>
      <c r="AA700" s="1507"/>
      <c r="AB700" s="1507"/>
      <c r="AC700" s="1507"/>
      <c r="AD700" s="1507"/>
      <c r="AE700" s="1507"/>
      <c r="AF700" s="1507"/>
      <c r="AG700" s="1507"/>
      <c r="AH700" s="1507"/>
      <c r="AI700" s="1507"/>
      <c r="AJ700" s="1507"/>
      <c r="AK700" s="150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189</v>
      </c>
      <c r="BH703" s="322">
        <f>SUM(BH668:BH702)</f>
        <v>1</v>
      </c>
      <c r="BI703" s="322">
        <f>SUM(BI668:BI702)</f>
        <v>0.5973544973544973</v>
      </c>
      <c r="BN703" s="3"/>
      <c r="BO703" s="3"/>
      <c r="BT703" s="893">
        <f>SUM(BT668:BT702)</f>
        <v>189</v>
      </c>
      <c r="BU703" s="322">
        <f>SUM(BU668:BU702)</f>
        <v>1</v>
      </c>
      <c r="BV703" s="322">
        <f>SUM(BV668:BV702)</f>
        <v>0.5974252626494303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0" t="s">
        <v>390</v>
      </c>
      <c r="C714" s="1369"/>
      <c r="D714" s="1369"/>
      <c r="E714" s="1369"/>
      <c r="F714" s="1370"/>
      <c r="G714" s="1500" t="s">
        <v>286</v>
      </c>
      <c r="H714" s="1369"/>
      <c r="I714" s="1369"/>
      <c r="J714" s="1370"/>
      <c r="K714" s="1413" t="s">
        <v>1869</v>
      </c>
      <c r="L714" s="1414"/>
      <c r="M714" s="1414"/>
      <c r="N714" s="1415"/>
      <c r="O714" s="1500" t="s">
        <v>456</v>
      </c>
      <c r="P714" s="1369"/>
      <c r="Q714" s="1369"/>
      <c r="R714" s="1369"/>
      <c r="S714" s="1370"/>
      <c r="T714" s="1368" t="s">
        <v>2249</v>
      </c>
      <c r="U714" s="1369"/>
      <c r="V714" s="1369"/>
      <c r="W714" s="1370"/>
      <c r="X714" s="1368" t="s">
        <v>2251</v>
      </c>
      <c r="Y714" s="1369"/>
      <c r="Z714" s="1369"/>
      <c r="AA714" s="1369"/>
      <c r="AB714" s="1370"/>
      <c r="AC714" s="1368" t="s">
        <v>2250</v>
      </c>
      <c r="AD714" s="1369"/>
      <c r="AE714" s="1369"/>
      <c r="AF714" s="1369"/>
      <c r="AG714" s="1370"/>
      <c r="AH714" s="1368" t="s">
        <v>2252</v>
      </c>
      <c r="AI714" s="1369"/>
      <c r="AJ714" s="1370"/>
      <c r="AK714" s="1368" t="s">
        <v>2286</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7</v>
      </c>
      <c r="H718" s="1366"/>
      <c r="I718" s="1366"/>
      <c r="J718" s="1367"/>
      <c r="K718" s="1381">
        <v>499</v>
      </c>
      <c r="L718" s="1382"/>
      <c r="M718" s="1382"/>
      <c r="N718" s="1383"/>
      <c r="O718" s="1377">
        <v>524</v>
      </c>
      <c r="P718" s="1378"/>
      <c r="Q718" s="1378"/>
      <c r="R718" s="1378"/>
      <c r="S718" s="1379"/>
      <c r="T718" s="1377">
        <v>185</v>
      </c>
      <c r="U718" s="1378"/>
      <c r="V718" s="1378"/>
      <c r="W718" s="1379"/>
      <c r="X718" s="1358">
        <f t="shared" ref="X718:X741" si="59">O718+T718</f>
        <v>709</v>
      </c>
      <c r="Y718" s="1359"/>
      <c r="Z718" s="1359"/>
      <c r="AA718" s="1359"/>
      <c r="AB718" s="1360"/>
      <c r="AC718" s="1579">
        <v>0.3</v>
      </c>
      <c r="AD718" s="1580"/>
      <c r="AE718" s="1580"/>
      <c r="AF718" s="1580"/>
      <c r="AG718" s="1581"/>
      <c r="AH718" s="1362">
        <f t="shared" ref="AH718:AH751" si="60">IF($AC718&gt;0,($X718/$BA667), "")</f>
        <v>0.29991539763113367</v>
      </c>
      <c r="AI718" s="1363"/>
      <c r="AJ718" s="1364"/>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5">
        <v>9</v>
      </c>
      <c r="H719" s="1366"/>
      <c r="I719" s="1366"/>
      <c r="J719" s="1367"/>
      <c r="K719" s="1381">
        <f>K718</f>
        <v>499</v>
      </c>
      <c r="L719" s="1382"/>
      <c r="M719" s="1382"/>
      <c r="N719" s="1383"/>
      <c r="O719" s="1377">
        <v>997</v>
      </c>
      <c r="P719" s="1378"/>
      <c r="Q719" s="1378"/>
      <c r="R719" s="1378"/>
      <c r="S719" s="1379"/>
      <c r="T719" s="1377">
        <f>T718</f>
        <v>185</v>
      </c>
      <c r="U719" s="1378"/>
      <c r="V719" s="1378"/>
      <c r="W719" s="1379"/>
      <c r="X719" s="1358">
        <f t="shared" si="59"/>
        <v>1182</v>
      </c>
      <c r="Y719" s="1359"/>
      <c r="Z719" s="1359"/>
      <c r="AA719" s="1359"/>
      <c r="AB719" s="1360"/>
      <c r="AC719" s="1579">
        <v>0.5</v>
      </c>
      <c r="AD719" s="1580"/>
      <c r="AE719" s="1580"/>
      <c r="AF719" s="1580"/>
      <c r="AG719" s="1581"/>
      <c r="AH719" s="1362">
        <f t="shared" si="60"/>
        <v>0.5</v>
      </c>
      <c r="AI719" s="1363"/>
      <c r="AJ719" s="1364"/>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5">
        <v>18</v>
      </c>
      <c r="H720" s="1366"/>
      <c r="I720" s="1366"/>
      <c r="J720" s="1367"/>
      <c r="K720" s="1381">
        <f t="shared" ref="K720:K721" si="61">K719</f>
        <v>499</v>
      </c>
      <c r="L720" s="1382"/>
      <c r="M720" s="1382"/>
      <c r="N720" s="1383"/>
      <c r="O720" s="1377">
        <v>1233</v>
      </c>
      <c r="P720" s="1378"/>
      <c r="Q720" s="1378"/>
      <c r="R720" s="1378"/>
      <c r="S720" s="1379"/>
      <c r="T720" s="1377">
        <f>T719</f>
        <v>185</v>
      </c>
      <c r="U720" s="1378"/>
      <c r="V720" s="1378"/>
      <c r="W720" s="1379"/>
      <c r="X720" s="1358">
        <f t="shared" si="59"/>
        <v>1418</v>
      </c>
      <c r="Y720" s="1359"/>
      <c r="Z720" s="1359"/>
      <c r="AA720" s="1359"/>
      <c r="AB720" s="1360"/>
      <c r="AC720" s="1579">
        <v>0.6</v>
      </c>
      <c r="AD720" s="1580"/>
      <c r="AE720" s="1580"/>
      <c r="AF720" s="1580"/>
      <c r="AG720" s="1581"/>
      <c r="AH720" s="1362">
        <f t="shared" si="60"/>
        <v>0.59983079526226735</v>
      </c>
      <c r="AI720" s="1363"/>
      <c r="AJ720" s="1364"/>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5">
        <v>30</v>
      </c>
      <c r="H721" s="1366"/>
      <c r="I721" s="1366"/>
      <c r="J721" s="1367"/>
      <c r="K721" s="1381">
        <f t="shared" si="61"/>
        <v>499</v>
      </c>
      <c r="L721" s="1382"/>
      <c r="M721" s="1382"/>
      <c r="N721" s="1383"/>
      <c r="O721" s="1377">
        <v>1470</v>
      </c>
      <c r="P721" s="1378"/>
      <c r="Q721" s="1378"/>
      <c r="R721" s="1378"/>
      <c r="S721" s="1379"/>
      <c r="T721" s="1377">
        <f>T720</f>
        <v>185</v>
      </c>
      <c r="U721" s="1378"/>
      <c r="V721" s="1378"/>
      <c r="W721" s="1379"/>
      <c r="X721" s="1358">
        <f t="shared" si="59"/>
        <v>1655</v>
      </c>
      <c r="Y721" s="1359"/>
      <c r="Z721" s="1359"/>
      <c r="AA721" s="1359"/>
      <c r="AB721" s="1360"/>
      <c r="AC721" s="1579">
        <v>0.7</v>
      </c>
      <c r="AD721" s="1580"/>
      <c r="AE721" s="1580"/>
      <c r="AF721" s="1580"/>
      <c r="AG721" s="1581"/>
      <c r="AH721" s="1362">
        <f t="shared" si="60"/>
        <v>0.70008460236886638</v>
      </c>
      <c r="AI721" s="1363"/>
      <c r="AJ721" s="1364"/>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5</v>
      </c>
      <c r="H722" s="1366"/>
      <c r="I722" s="1366"/>
      <c r="J722" s="1367"/>
      <c r="K722" s="1381">
        <v>749</v>
      </c>
      <c r="L722" s="1382"/>
      <c r="M722" s="1382"/>
      <c r="N722" s="1383"/>
      <c r="O722" s="1377">
        <v>627</v>
      </c>
      <c r="P722" s="1378"/>
      <c r="Q722" s="1378"/>
      <c r="R722" s="1378"/>
      <c r="S722" s="1379"/>
      <c r="T722" s="1377">
        <v>224</v>
      </c>
      <c r="U722" s="1378"/>
      <c r="V722" s="1378"/>
      <c r="W722" s="1379"/>
      <c r="X722" s="1358">
        <f t="shared" si="59"/>
        <v>851</v>
      </c>
      <c r="Y722" s="1359"/>
      <c r="Z722" s="1359"/>
      <c r="AA722" s="1359"/>
      <c r="AB722" s="1360"/>
      <c r="AC722" s="1579">
        <f>AC718</f>
        <v>0.3</v>
      </c>
      <c r="AD722" s="1580"/>
      <c r="AE722" s="1580"/>
      <c r="AF722" s="1580"/>
      <c r="AG722" s="1581"/>
      <c r="AH722" s="1362">
        <f t="shared" si="60"/>
        <v>0.30007052186177713</v>
      </c>
      <c r="AI722" s="1363"/>
      <c r="AJ722" s="1364"/>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7</v>
      </c>
      <c r="H723" s="1366"/>
      <c r="I723" s="1366"/>
      <c r="J723" s="1367"/>
      <c r="K723" s="1381">
        <f>K722</f>
        <v>749</v>
      </c>
      <c r="L723" s="1382"/>
      <c r="M723" s="1382"/>
      <c r="N723" s="1383"/>
      <c r="O723" s="1377">
        <v>1194</v>
      </c>
      <c r="P723" s="1378"/>
      <c r="Q723" s="1378"/>
      <c r="R723" s="1378"/>
      <c r="S723" s="1379"/>
      <c r="T723" s="1377">
        <f t="shared" ref="T723:T725" si="62">T722</f>
        <v>224</v>
      </c>
      <c r="U723" s="1378"/>
      <c r="V723" s="1378"/>
      <c r="W723" s="1379"/>
      <c r="X723" s="1358">
        <f t="shared" si="59"/>
        <v>1418</v>
      </c>
      <c r="Y723" s="1359"/>
      <c r="Z723" s="1359"/>
      <c r="AA723" s="1359"/>
      <c r="AB723" s="1360"/>
      <c r="AC723" s="1579">
        <f t="shared" ref="AC723:AC737" si="63">AC719</f>
        <v>0.5</v>
      </c>
      <c r="AD723" s="1580"/>
      <c r="AE723" s="1580"/>
      <c r="AF723" s="1580"/>
      <c r="AG723" s="1581"/>
      <c r="AH723" s="1362">
        <f t="shared" si="60"/>
        <v>0.5</v>
      </c>
      <c r="AI723" s="1363"/>
      <c r="AJ723" s="1364"/>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65">
        <v>13</v>
      </c>
      <c r="H724" s="1366"/>
      <c r="I724" s="1366"/>
      <c r="J724" s="1367"/>
      <c r="K724" s="1381">
        <f t="shared" ref="K724:K725" si="64">K723</f>
        <v>749</v>
      </c>
      <c r="L724" s="1382"/>
      <c r="M724" s="1382"/>
      <c r="N724" s="1383"/>
      <c r="O724" s="1377">
        <v>1478</v>
      </c>
      <c r="P724" s="1378"/>
      <c r="Q724" s="1378"/>
      <c r="R724" s="1378"/>
      <c r="S724" s="1379"/>
      <c r="T724" s="1377">
        <f t="shared" si="62"/>
        <v>224</v>
      </c>
      <c r="U724" s="1378"/>
      <c r="V724" s="1378"/>
      <c r="W724" s="1379"/>
      <c r="X724" s="1358">
        <f t="shared" si="59"/>
        <v>1702</v>
      </c>
      <c r="Y724" s="1359"/>
      <c r="Z724" s="1359"/>
      <c r="AA724" s="1359"/>
      <c r="AB724" s="1360"/>
      <c r="AC724" s="1579">
        <f t="shared" si="63"/>
        <v>0.6</v>
      </c>
      <c r="AD724" s="1580"/>
      <c r="AE724" s="1580"/>
      <c r="AF724" s="1580"/>
      <c r="AG724" s="1581"/>
      <c r="AH724" s="1362">
        <f t="shared" si="60"/>
        <v>0.60014104372355426</v>
      </c>
      <c r="AI724" s="1363"/>
      <c r="AJ724" s="1364"/>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21</v>
      </c>
      <c r="H725" s="1366"/>
      <c r="I725" s="1366"/>
      <c r="J725" s="1367"/>
      <c r="K725" s="1381">
        <f t="shared" si="64"/>
        <v>749</v>
      </c>
      <c r="L725" s="1382"/>
      <c r="M725" s="1382"/>
      <c r="N725" s="1383"/>
      <c r="O725" s="1377">
        <v>1762</v>
      </c>
      <c r="P725" s="1378"/>
      <c r="Q725" s="1378"/>
      <c r="R725" s="1378"/>
      <c r="S725" s="1379"/>
      <c r="T725" s="1377">
        <f t="shared" si="62"/>
        <v>224</v>
      </c>
      <c r="U725" s="1378"/>
      <c r="V725" s="1378"/>
      <c r="W725" s="1379"/>
      <c r="X725" s="1358">
        <f t="shared" si="59"/>
        <v>1986</v>
      </c>
      <c r="Y725" s="1359"/>
      <c r="Z725" s="1359"/>
      <c r="AA725" s="1359"/>
      <c r="AB725" s="1360"/>
      <c r="AC725" s="1579">
        <f t="shared" si="63"/>
        <v>0.7</v>
      </c>
      <c r="AD725" s="1580"/>
      <c r="AE725" s="1580"/>
      <c r="AF725" s="1580"/>
      <c r="AG725" s="1581"/>
      <c r="AH725" s="1362">
        <f t="shared" si="60"/>
        <v>0.70028208744710863</v>
      </c>
      <c r="AI725" s="1363"/>
      <c r="AJ725" s="1364"/>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2</v>
      </c>
      <c r="H726" s="1366"/>
      <c r="I726" s="1366"/>
      <c r="J726" s="1367"/>
      <c r="K726" s="1381">
        <v>1150</v>
      </c>
      <c r="L726" s="1382"/>
      <c r="M726" s="1382"/>
      <c r="N726" s="1383"/>
      <c r="O726" s="1377">
        <v>707</v>
      </c>
      <c r="P726" s="1378"/>
      <c r="Q726" s="1378"/>
      <c r="R726" s="1378"/>
      <c r="S726" s="1379"/>
      <c r="T726" s="1377">
        <v>276</v>
      </c>
      <c r="U726" s="1378"/>
      <c r="V726" s="1378"/>
      <c r="W726" s="1379"/>
      <c r="X726" s="1358">
        <f t="shared" si="59"/>
        <v>983</v>
      </c>
      <c r="Y726" s="1359"/>
      <c r="Z726" s="1359"/>
      <c r="AA726" s="1359"/>
      <c r="AB726" s="1360"/>
      <c r="AC726" s="1579">
        <f t="shared" si="63"/>
        <v>0.3</v>
      </c>
      <c r="AD726" s="1580"/>
      <c r="AE726" s="1580"/>
      <c r="AF726" s="1580"/>
      <c r="AG726" s="1581"/>
      <c r="AH726" s="1362">
        <f t="shared" si="60"/>
        <v>0.29987797437461866</v>
      </c>
      <c r="AI726" s="1363"/>
      <c r="AJ726" s="1364"/>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164</v>
      </c>
      <c r="C727" s="1356"/>
      <c r="D727" s="1356"/>
      <c r="E727" s="1356"/>
      <c r="F727" s="1357"/>
      <c r="G727" s="1365">
        <v>2</v>
      </c>
      <c r="H727" s="1366"/>
      <c r="I727" s="1366"/>
      <c r="J727" s="1367"/>
      <c r="K727" s="1381">
        <f t="shared" ref="K727:K729" si="65">K726</f>
        <v>1150</v>
      </c>
      <c r="L727" s="1382"/>
      <c r="M727" s="1382"/>
      <c r="N727" s="1383"/>
      <c r="O727" s="1377">
        <v>1363</v>
      </c>
      <c r="P727" s="1378"/>
      <c r="Q727" s="1378"/>
      <c r="R727" s="1378"/>
      <c r="S727" s="1379"/>
      <c r="T727" s="1377">
        <f>T726</f>
        <v>276</v>
      </c>
      <c r="U727" s="1378"/>
      <c r="V727" s="1378"/>
      <c r="W727" s="1379"/>
      <c r="X727" s="1358">
        <f t="shared" si="59"/>
        <v>1639</v>
      </c>
      <c r="Y727" s="1359"/>
      <c r="Z727" s="1359"/>
      <c r="AA727" s="1359"/>
      <c r="AB727" s="1360"/>
      <c r="AC727" s="1579">
        <f t="shared" si="63"/>
        <v>0.5</v>
      </c>
      <c r="AD727" s="1580"/>
      <c r="AE727" s="1580"/>
      <c r="AF727" s="1580"/>
      <c r="AG727" s="1581"/>
      <c r="AH727" s="1362">
        <f t="shared" si="60"/>
        <v>0.5</v>
      </c>
      <c r="AI727" s="1363"/>
      <c r="AJ727" s="1364"/>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164</v>
      </c>
      <c r="C728" s="1356"/>
      <c r="D728" s="1356"/>
      <c r="E728" s="1356"/>
      <c r="F728" s="1357"/>
      <c r="G728" s="1365">
        <v>4</v>
      </c>
      <c r="H728" s="1366"/>
      <c r="I728" s="1366"/>
      <c r="J728" s="1367"/>
      <c r="K728" s="1381">
        <f t="shared" si="65"/>
        <v>1150</v>
      </c>
      <c r="L728" s="1382"/>
      <c r="M728" s="1382"/>
      <c r="N728" s="1383"/>
      <c r="O728" s="1377">
        <v>1691</v>
      </c>
      <c r="P728" s="1378"/>
      <c r="Q728" s="1378"/>
      <c r="R728" s="1378"/>
      <c r="S728" s="1379"/>
      <c r="T728" s="1377">
        <f t="shared" ref="T728:T729" si="66">T727</f>
        <v>276</v>
      </c>
      <c r="U728" s="1378"/>
      <c r="V728" s="1378"/>
      <c r="W728" s="1379"/>
      <c r="X728" s="1358">
        <f t="shared" si="59"/>
        <v>1967</v>
      </c>
      <c r="Y728" s="1359"/>
      <c r="Z728" s="1359"/>
      <c r="AA728" s="1359"/>
      <c r="AB728" s="1360"/>
      <c r="AC728" s="1579">
        <f t="shared" si="63"/>
        <v>0.6</v>
      </c>
      <c r="AD728" s="1580"/>
      <c r="AE728" s="1580"/>
      <c r="AF728" s="1580"/>
      <c r="AG728" s="1581"/>
      <c r="AH728" s="1362">
        <f t="shared" si="60"/>
        <v>0.60006101281269064</v>
      </c>
      <c r="AI728" s="1363"/>
      <c r="AJ728" s="1364"/>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164</v>
      </c>
      <c r="C729" s="1356"/>
      <c r="D729" s="1356"/>
      <c r="E729" s="1356"/>
      <c r="F729" s="1357"/>
      <c r="G729" s="1365">
        <v>7</v>
      </c>
      <c r="H729" s="1366"/>
      <c r="I729" s="1366"/>
      <c r="J729" s="1367"/>
      <c r="K729" s="1381">
        <f t="shared" si="65"/>
        <v>1150</v>
      </c>
      <c r="L729" s="1382"/>
      <c r="M729" s="1382"/>
      <c r="N729" s="1383"/>
      <c r="O729" s="1377">
        <v>2019</v>
      </c>
      <c r="P729" s="1378"/>
      <c r="Q729" s="1378"/>
      <c r="R729" s="1378"/>
      <c r="S729" s="1379"/>
      <c r="T729" s="1377">
        <f t="shared" si="66"/>
        <v>276</v>
      </c>
      <c r="U729" s="1378"/>
      <c r="V729" s="1378"/>
      <c r="W729" s="1379"/>
      <c r="X729" s="1358">
        <f t="shared" si="59"/>
        <v>2295</v>
      </c>
      <c r="Y729" s="1359"/>
      <c r="Z729" s="1359"/>
      <c r="AA729" s="1359"/>
      <c r="AB729" s="1360"/>
      <c r="AC729" s="1579">
        <f t="shared" si="63"/>
        <v>0.7</v>
      </c>
      <c r="AD729" s="1580"/>
      <c r="AE729" s="1580"/>
      <c r="AF729" s="1580"/>
      <c r="AG729" s="1581"/>
      <c r="AH729" s="1362">
        <f t="shared" si="60"/>
        <v>0.70012202562538128</v>
      </c>
      <c r="AI729" s="1363"/>
      <c r="AJ729" s="1364"/>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164</v>
      </c>
      <c r="C730" s="1356"/>
      <c r="D730" s="1356"/>
      <c r="E730" s="1356"/>
      <c r="F730" s="1357"/>
      <c r="G730" s="1365">
        <v>5</v>
      </c>
      <c r="H730" s="1366"/>
      <c r="I730" s="1366"/>
      <c r="J730" s="1367"/>
      <c r="K730" s="1381">
        <v>1350</v>
      </c>
      <c r="L730" s="1382"/>
      <c r="M730" s="1382"/>
      <c r="N730" s="1383"/>
      <c r="O730" s="1377">
        <v>707</v>
      </c>
      <c r="P730" s="1378"/>
      <c r="Q730" s="1378"/>
      <c r="R730" s="1378"/>
      <c r="S730" s="1379"/>
      <c r="T730" s="1377">
        <v>276</v>
      </c>
      <c r="U730" s="1378"/>
      <c r="V730" s="1378"/>
      <c r="W730" s="1379"/>
      <c r="X730" s="1358">
        <f t="shared" si="59"/>
        <v>983</v>
      </c>
      <c r="Y730" s="1359"/>
      <c r="Z730" s="1359"/>
      <c r="AA730" s="1359"/>
      <c r="AB730" s="1360"/>
      <c r="AC730" s="1579">
        <f t="shared" si="63"/>
        <v>0.3</v>
      </c>
      <c r="AD730" s="1580"/>
      <c r="AE730" s="1580"/>
      <c r="AF730" s="1580"/>
      <c r="AG730" s="1581"/>
      <c r="AH730" s="1362">
        <f t="shared" si="60"/>
        <v>0.29987797437461866</v>
      </c>
      <c r="AI730" s="1363"/>
      <c r="AJ730" s="1364"/>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5">
        <v>6</v>
      </c>
      <c r="H731" s="1366"/>
      <c r="I731" s="1366"/>
      <c r="J731" s="1367"/>
      <c r="K731" s="1381">
        <f t="shared" ref="K731:K733" si="67">K730</f>
        <v>1350</v>
      </c>
      <c r="L731" s="1382"/>
      <c r="M731" s="1382"/>
      <c r="N731" s="1383"/>
      <c r="O731" s="1377">
        <v>1363</v>
      </c>
      <c r="P731" s="1378"/>
      <c r="Q731" s="1378"/>
      <c r="R731" s="1378"/>
      <c r="S731" s="1379"/>
      <c r="T731" s="1377">
        <f>T730</f>
        <v>276</v>
      </c>
      <c r="U731" s="1378"/>
      <c r="V731" s="1378"/>
      <c r="W731" s="1379"/>
      <c r="X731" s="1358">
        <f t="shared" si="59"/>
        <v>1639</v>
      </c>
      <c r="Y731" s="1359"/>
      <c r="Z731" s="1359"/>
      <c r="AA731" s="1359"/>
      <c r="AB731" s="1360"/>
      <c r="AC731" s="1579">
        <f t="shared" si="63"/>
        <v>0.5</v>
      </c>
      <c r="AD731" s="1580"/>
      <c r="AE731" s="1580"/>
      <c r="AF731" s="1580"/>
      <c r="AG731" s="1581"/>
      <c r="AH731" s="1362">
        <f t="shared" si="60"/>
        <v>0.5</v>
      </c>
      <c r="AI731" s="1363"/>
      <c r="AJ731" s="1364"/>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t="s">
        <v>164</v>
      </c>
      <c r="C732" s="1356"/>
      <c r="D732" s="1356"/>
      <c r="E732" s="1356"/>
      <c r="F732" s="1357"/>
      <c r="G732" s="1365">
        <v>11</v>
      </c>
      <c r="H732" s="1366"/>
      <c r="I732" s="1366"/>
      <c r="J732" s="1367"/>
      <c r="K732" s="1381">
        <f t="shared" si="67"/>
        <v>1350</v>
      </c>
      <c r="L732" s="1382"/>
      <c r="M732" s="1382"/>
      <c r="N732" s="1383"/>
      <c r="O732" s="1377">
        <v>1691</v>
      </c>
      <c r="P732" s="1378"/>
      <c r="Q732" s="1378"/>
      <c r="R732" s="1378"/>
      <c r="S732" s="1379"/>
      <c r="T732" s="1377">
        <f t="shared" ref="T732:T733" si="68">T731</f>
        <v>276</v>
      </c>
      <c r="U732" s="1378"/>
      <c r="V732" s="1378"/>
      <c r="W732" s="1379"/>
      <c r="X732" s="1358">
        <f t="shared" si="59"/>
        <v>1967</v>
      </c>
      <c r="Y732" s="1359"/>
      <c r="Z732" s="1359"/>
      <c r="AA732" s="1359"/>
      <c r="AB732" s="1360"/>
      <c r="AC732" s="1579">
        <f t="shared" si="63"/>
        <v>0.6</v>
      </c>
      <c r="AD732" s="1580"/>
      <c r="AE732" s="1580"/>
      <c r="AF732" s="1580"/>
      <c r="AG732" s="1581"/>
      <c r="AH732" s="1362">
        <f t="shared" si="60"/>
        <v>0.60006101281269064</v>
      </c>
      <c r="AI732" s="1363"/>
      <c r="AJ732" s="1364"/>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164</v>
      </c>
      <c r="C733" s="1356"/>
      <c r="D733" s="1356"/>
      <c r="E733" s="1356"/>
      <c r="F733" s="1357"/>
      <c r="G733" s="1365">
        <v>20</v>
      </c>
      <c r="H733" s="1366"/>
      <c r="I733" s="1366"/>
      <c r="J733" s="1367"/>
      <c r="K733" s="1381">
        <f t="shared" si="67"/>
        <v>1350</v>
      </c>
      <c r="L733" s="1382"/>
      <c r="M733" s="1382"/>
      <c r="N733" s="1383"/>
      <c r="O733" s="1377">
        <v>2019</v>
      </c>
      <c r="P733" s="1378"/>
      <c r="Q733" s="1378"/>
      <c r="R733" s="1378"/>
      <c r="S733" s="1379"/>
      <c r="T733" s="1377">
        <f t="shared" si="68"/>
        <v>276</v>
      </c>
      <c r="U733" s="1378"/>
      <c r="V733" s="1378"/>
      <c r="W733" s="1379"/>
      <c r="X733" s="1358">
        <f t="shared" si="59"/>
        <v>2295</v>
      </c>
      <c r="Y733" s="1359"/>
      <c r="Z733" s="1359"/>
      <c r="AA733" s="1359"/>
      <c r="AB733" s="1360"/>
      <c r="AC733" s="1579">
        <f t="shared" si="63"/>
        <v>0.7</v>
      </c>
      <c r="AD733" s="1580"/>
      <c r="AE733" s="1580"/>
      <c r="AF733" s="1580"/>
      <c r="AG733" s="1581"/>
      <c r="AH733" s="1362">
        <f t="shared" si="60"/>
        <v>0.70012202562538128</v>
      </c>
      <c r="AI733" s="1363"/>
      <c r="AJ733" s="1364"/>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t="s">
        <v>165</v>
      </c>
      <c r="C734" s="1356"/>
      <c r="D734" s="1356"/>
      <c r="E734" s="1356"/>
      <c r="F734" s="1357"/>
      <c r="G734" s="1365">
        <v>3</v>
      </c>
      <c r="H734" s="1366"/>
      <c r="I734" s="1366"/>
      <c r="J734" s="1367"/>
      <c r="K734" s="1381">
        <v>1650</v>
      </c>
      <c r="L734" s="1382"/>
      <c r="M734" s="1382"/>
      <c r="N734" s="1383"/>
      <c r="O734" s="1377">
        <v>758</v>
      </c>
      <c r="P734" s="1378"/>
      <c r="Q734" s="1378"/>
      <c r="R734" s="1378"/>
      <c r="S734" s="1379"/>
      <c r="T734" s="1377">
        <v>339</v>
      </c>
      <c r="U734" s="1378"/>
      <c r="V734" s="1378"/>
      <c r="W734" s="1379"/>
      <c r="X734" s="1358">
        <f t="shared" si="59"/>
        <v>1097</v>
      </c>
      <c r="Y734" s="1359"/>
      <c r="Z734" s="1359"/>
      <c r="AA734" s="1359"/>
      <c r="AB734" s="1360"/>
      <c r="AC734" s="1579">
        <f t="shared" si="63"/>
        <v>0.3</v>
      </c>
      <c r="AD734" s="1580"/>
      <c r="AE734" s="1580"/>
      <c r="AF734" s="1580"/>
      <c r="AG734" s="1581"/>
      <c r="AH734" s="1362">
        <f t="shared" si="60"/>
        <v>0.30005470459518602</v>
      </c>
      <c r="AI734" s="1363"/>
      <c r="AJ734" s="1364"/>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t="s">
        <v>165</v>
      </c>
      <c r="C735" s="1356"/>
      <c r="D735" s="1356"/>
      <c r="E735" s="1356"/>
      <c r="F735" s="1357"/>
      <c r="G735" s="1365">
        <v>3</v>
      </c>
      <c r="H735" s="1366"/>
      <c r="I735" s="1366"/>
      <c r="J735" s="1367"/>
      <c r="K735" s="1381">
        <f t="shared" ref="K735:K737" si="69">K734</f>
        <v>1650</v>
      </c>
      <c r="L735" s="1382"/>
      <c r="M735" s="1382"/>
      <c r="N735" s="1383"/>
      <c r="O735" s="1377">
        <v>1489</v>
      </c>
      <c r="P735" s="1378"/>
      <c r="Q735" s="1378"/>
      <c r="R735" s="1378"/>
      <c r="S735" s="1379"/>
      <c r="T735" s="1377">
        <f t="shared" ref="T735:T737" si="70">T734</f>
        <v>339</v>
      </c>
      <c r="U735" s="1378"/>
      <c r="V735" s="1378"/>
      <c r="W735" s="1379"/>
      <c r="X735" s="1358">
        <f t="shared" si="59"/>
        <v>1828</v>
      </c>
      <c r="Y735" s="1359"/>
      <c r="Z735" s="1359"/>
      <c r="AA735" s="1359"/>
      <c r="AB735" s="1360"/>
      <c r="AC735" s="1579">
        <f t="shared" si="63"/>
        <v>0.5</v>
      </c>
      <c r="AD735" s="1580"/>
      <c r="AE735" s="1580"/>
      <c r="AF735" s="1580"/>
      <c r="AG735" s="1581"/>
      <c r="AH735" s="1362">
        <f t="shared" si="60"/>
        <v>0.5</v>
      </c>
      <c r="AI735" s="1363"/>
      <c r="AJ735" s="1364"/>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t="s">
        <v>165</v>
      </c>
      <c r="C736" s="1356"/>
      <c r="D736" s="1356"/>
      <c r="E736" s="1356"/>
      <c r="F736" s="1357"/>
      <c r="G736" s="1365">
        <v>6</v>
      </c>
      <c r="H736" s="1366"/>
      <c r="I736" s="1366"/>
      <c r="J736" s="1367"/>
      <c r="K736" s="1381">
        <f t="shared" si="69"/>
        <v>1650</v>
      </c>
      <c r="L736" s="1382"/>
      <c r="M736" s="1382"/>
      <c r="N736" s="1383"/>
      <c r="O736" s="1377">
        <v>1855</v>
      </c>
      <c r="P736" s="1378"/>
      <c r="Q736" s="1378"/>
      <c r="R736" s="1378"/>
      <c r="S736" s="1379"/>
      <c r="T736" s="1377">
        <f t="shared" si="70"/>
        <v>339</v>
      </c>
      <c r="U736" s="1378"/>
      <c r="V736" s="1378"/>
      <c r="W736" s="1379"/>
      <c r="X736" s="1358">
        <f t="shared" si="59"/>
        <v>2194</v>
      </c>
      <c r="Y736" s="1359"/>
      <c r="Z736" s="1359"/>
      <c r="AA736" s="1359"/>
      <c r="AB736" s="1360"/>
      <c r="AC736" s="1579">
        <f t="shared" si="63"/>
        <v>0.6</v>
      </c>
      <c r="AD736" s="1580"/>
      <c r="AE736" s="1580"/>
      <c r="AF736" s="1580"/>
      <c r="AG736" s="1581"/>
      <c r="AH736" s="1362">
        <f t="shared" si="60"/>
        <v>0.60010940919037203</v>
      </c>
      <c r="AI736" s="1363"/>
      <c r="AJ736" s="1364"/>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t="s">
        <v>165</v>
      </c>
      <c r="C737" s="1356"/>
      <c r="D737" s="1356"/>
      <c r="E737" s="1356"/>
      <c r="F737" s="1357"/>
      <c r="G737" s="1365">
        <v>10</v>
      </c>
      <c r="H737" s="1366"/>
      <c r="I737" s="1366"/>
      <c r="J737" s="1367"/>
      <c r="K737" s="1381">
        <f t="shared" si="69"/>
        <v>1650</v>
      </c>
      <c r="L737" s="1382"/>
      <c r="M737" s="1382"/>
      <c r="N737" s="1383"/>
      <c r="O737" s="1377">
        <v>2221</v>
      </c>
      <c r="P737" s="1378"/>
      <c r="Q737" s="1378"/>
      <c r="R737" s="1378"/>
      <c r="S737" s="1379"/>
      <c r="T737" s="1377">
        <f t="shared" si="70"/>
        <v>339</v>
      </c>
      <c r="U737" s="1378"/>
      <c r="V737" s="1378"/>
      <c r="W737" s="1379"/>
      <c r="X737" s="1358">
        <f t="shared" si="59"/>
        <v>2560</v>
      </c>
      <c r="Y737" s="1359"/>
      <c r="Z737" s="1359"/>
      <c r="AA737" s="1359"/>
      <c r="AB737" s="1360"/>
      <c r="AC737" s="1579">
        <f t="shared" si="63"/>
        <v>0.7</v>
      </c>
      <c r="AD737" s="1580"/>
      <c r="AE737" s="1580"/>
      <c r="AF737" s="1580"/>
      <c r="AG737" s="1581"/>
      <c r="AH737" s="1362">
        <f t="shared" si="60"/>
        <v>0.70021881838074396</v>
      </c>
      <c r="AI737" s="1363"/>
      <c r="AJ737" s="1364"/>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579"/>
      <c r="AD738" s="1580"/>
      <c r="AE738" s="1580"/>
      <c r="AF738" s="1580"/>
      <c r="AG738" s="1581"/>
      <c r="AH738" s="1362" t="str">
        <f t="shared" si="60"/>
        <v/>
      </c>
      <c r="AI738" s="1363"/>
      <c r="AJ738" s="1364"/>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579"/>
      <c r="AD739" s="1580"/>
      <c r="AE739" s="1580"/>
      <c r="AF739" s="1580"/>
      <c r="AG739" s="1581"/>
      <c r="AH739" s="1362" t="str">
        <f t="shared" si="60"/>
        <v/>
      </c>
      <c r="AI739" s="1363"/>
      <c r="AJ739" s="1364"/>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579"/>
      <c r="AD740" s="1580"/>
      <c r="AE740" s="1580"/>
      <c r="AF740" s="1580"/>
      <c r="AG740" s="1581"/>
      <c r="AH740" s="1362" t="str">
        <f t="shared" si="60"/>
        <v/>
      </c>
      <c r="AI740" s="1363"/>
      <c r="AJ740" s="1364"/>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579"/>
      <c r="AD741" s="1580"/>
      <c r="AE741" s="1580"/>
      <c r="AF741" s="1580"/>
      <c r="AG741" s="1581"/>
      <c r="AH741" s="1362" t="str">
        <f t="shared" si="60"/>
        <v/>
      </c>
      <c r="AI741" s="1363"/>
      <c r="AJ741" s="1364"/>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71">O742+T742</f>
        <v>0</v>
      </c>
      <c r="Y742" s="1359"/>
      <c r="Z742" s="1359"/>
      <c r="AA742" s="1359"/>
      <c r="AB742" s="1360"/>
      <c r="AC742" s="1579"/>
      <c r="AD742" s="1580"/>
      <c r="AE742" s="1580"/>
      <c r="AF742" s="1580"/>
      <c r="AG742" s="1581"/>
      <c r="AH742" s="1362" t="str">
        <f t="shared" si="60"/>
        <v/>
      </c>
      <c r="AI742" s="1363"/>
      <c r="AJ742" s="1364"/>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71"/>
        <v>0</v>
      </c>
      <c r="Y743" s="1359"/>
      <c r="Z743" s="1359"/>
      <c r="AA743" s="1359"/>
      <c r="AB743" s="1360"/>
      <c r="AC743" s="1579"/>
      <c r="AD743" s="1580"/>
      <c r="AE743" s="1580"/>
      <c r="AF743" s="1580"/>
      <c r="AG743" s="1581"/>
      <c r="AH743" s="1362" t="str">
        <f t="shared" si="60"/>
        <v/>
      </c>
      <c r="AI743" s="1363"/>
      <c r="AJ743" s="1364"/>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71"/>
        <v>0</v>
      </c>
      <c r="Y744" s="1359"/>
      <c r="Z744" s="1359"/>
      <c r="AA744" s="1359"/>
      <c r="AB744" s="1360"/>
      <c r="AC744" s="1579"/>
      <c r="AD744" s="1580"/>
      <c r="AE744" s="1580"/>
      <c r="AF744" s="1580"/>
      <c r="AG744" s="1581"/>
      <c r="AH744" s="1362" t="str">
        <f t="shared" si="60"/>
        <v/>
      </c>
      <c r="AI744" s="1363"/>
      <c r="AJ744" s="1364"/>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71"/>
        <v>0</v>
      </c>
      <c r="Y745" s="1359"/>
      <c r="Z745" s="1359"/>
      <c r="AA745" s="1359"/>
      <c r="AB745" s="1360"/>
      <c r="AC745" s="1579"/>
      <c r="AD745" s="1580"/>
      <c r="AE745" s="1580"/>
      <c r="AF745" s="1580"/>
      <c r="AG745" s="1581"/>
      <c r="AH745" s="1362" t="str">
        <f t="shared" si="60"/>
        <v/>
      </c>
      <c r="AI745" s="1363"/>
      <c r="AJ745" s="1364"/>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71"/>
        <v>0</v>
      </c>
      <c r="Y746" s="1359"/>
      <c r="Z746" s="1359"/>
      <c r="AA746" s="1359"/>
      <c r="AB746" s="1360"/>
      <c r="AC746" s="1579"/>
      <c r="AD746" s="1580"/>
      <c r="AE746" s="1580"/>
      <c r="AF746" s="1580"/>
      <c r="AG746" s="1581"/>
      <c r="AH746" s="1362" t="str">
        <f t="shared" si="60"/>
        <v/>
      </c>
      <c r="AI746" s="1363"/>
      <c r="AJ746" s="1364"/>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71"/>
        <v>0</v>
      </c>
      <c r="Y747" s="1359"/>
      <c r="Z747" s="1359"/>
      <c r="AA747" s="1359"/>
      <c r="AB747" s="1360"/>
      <c r="AC747" s="1579"/>
      <c r="AD747" s="1580"/>
      <c r="AE747" s="1580"/>
      <c r="AF747" s="1580"/>
      <c r="AG747" s="1581"/>
      <c r="AH747" s="1362" t="str">
        <f t="shared" si="60"/>
        <v/>
      </c>
      <c r="AI747" s="1363"/>
      <c r="AJ747" s="1364"/>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71"/>
        <v>0</v>
      </c>
      <c r="Y748" s="1359"/>
      <c r="Z748" s="1359"/>
      <c r="AA748" s="1359"/>
      <c r="AB748" s="1360"/>
      <c r="AC748" s="1579"/>
      <c r="AD748" s="1580"/>
      <c r="AE748" s="1580"/>
      <c r="AF748" s="1580"/>
      <c r="AG748" s="1581"/>
      <c r="AH748" s="1362" t="str">
        <f t="shared" si="60"/>
        <v/>
      </c>
      <c r="AI748" s="1363"/>
      <c r="AJ748" s="1364"/>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71"/>
        <v>0</v>
      </c>
      <c r="Y749" s="1359"/>
      <c r="Z749" s="1359"/>
      <c r="AA749" s="1359"/>
      <c r="AB749" s="1360"/>
      <c r="AC749" s="1579"/>
      <c r="AD749" s="1580"/>
      <c r="AE749" s="1580"/>
      <c r="AF749" s="1580"/>
      <c r="AG749" s="1581"/>
      <c r="AH749" s="1362" t="str">
        <f t="shared" si="60"/>
        <v/>
      </c>
      <c r="AI749" s="1363"/>
      <c r="AJ749" s="1364"/>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71"/>
        <v>0</v>
      </c>
      <c r="Y750" s="1359"/>
      <c r="Z750" s="1359"/>
      <c r="AA750" s="1359"/>
      <c r="AB750" s="1360"/>
      <c r="AC750" s="1579"/>
      <c r="AD750" s="1580"/>
      <c r="AE750" s="1580"/>
      <c r="AF750" s="1580"/>
      <c r="AG750" s="1581"/>
      <c r="AH750" s="1362" t="str">
        <f t="shared" si="60"/>
        <v/>
      </c>
      <c r="AI750" s="1363"/>
      <c r="AJ750" s="1364"/>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71"/>
        <v>0</v>
      </c>
      <c r="Y751" s="1359"/>
      <c r="Z751" s="1359"/>
      <c r="AA751" s="1359"/>
      <c r="AB751" s="1360"/>
      <c r="AC751" s="1579"/>
      <c r="AD751" s="1580"/>
      <c r="AE751" s="1580"/>
      <c r="AF751" s="1580"/>
      <c r="AG751" s="1581"/>
      <c r="AH751" s="1362" t="str">
        <f t="shared" si="60"/>
        <v/>
      </c>
      <c r="AI751" s="1363"/>
      <c r="AJ751" s="1364"/>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79"/>
      <c r="AD752" s="1580"/>
      <c r="AE752" s="1580"/>
      <c r="AF752" s="1580"/>
      <c r="AG752" s="1581"/>
      <c r="AH752" s="1362" t="str">
        <f>IF($AC752&gt;0,($X752/$BA701), "")</f>
        <v/>
      </c>
      <c r="AI752" s="1363"/>
      <c r="AJ752" s="1364"/>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5" t="s">
        <v>125</v>
      </c>
      <c r="C753" s="1606"/>
      <c r="D753" s="1606"/>
      <c r="E753" s="1606"/>
      <c r="F753" s="1607"/>
      <c r="G753" s="1756">
        <f>SUM(G718:G752)</f>
        <v>189</v>
      </c>
      <c r="H753" s="1757"/>
      <c r="I753" s="1757"/>
      <c r="J753" s="1758"/>
      <c r="K753" s="937" t="s">
        <v>124</v>
      </c>
      <c r="L753" s="5"/>
      <c r="M753" s="5"/>
      <c r="N753" s="46"/>
      <c r="O753" s="1358">
        <f>SUMPRODUCT(G718:G752,O718:O752)</f>
        <v>282456</v>
      </c>
      <c r="P753" s="1359"/>
      <c r="Q753" s="1359"/>
      <c r="R753" s="1359"/>
      <c r="S753" s="1360"/>
      <c r="T753"/>
      <c r="U753"/>
      <c r="V753"/>
      <c r="W753"/>
      <c r="X753" s="939" t="s">
        <v>916</v>
      </c>
      <c r="Y753" s="938"/>
      <c r="Z753" s="938"/>
      <c r="AA753" s="938"/>
      <c r="AB753" s="940"/>
      <c r="AC753" s="1735">
        <f>BI703</f>
        <v>0.5973544973544973</v>
      </c>
      <c r="AD753" s="1736"/>
      <c r="AE753" s="1736"/>
      <c r="AF753" s="1736"/>
      <c r="AG753" s="1737"/>
      <c r="AH753" s="1735">
        <f>IFERROR(BV703,"")</f>
        <v>0.5974252626494303</v>
      </c>
      <c r="AI753" s="1736"/>
      <c r="AJ753" s="173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9" t="s">
        <v>2184</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1">
        <f>CS634</f>
        <v>415</v>
      </c>
      <c r="P756" s="1391"/>
      <c r="Q756" s="1391"/>
      <c r="R756" s="1391"/>
      <c r="S756" s="1004"/>
      <c r="T756" s="1004"/>
      <c r="U756" s="118" t="s">
        <v>2183</v>
      </c>
      <c r="V756" s="1067"/>
      <c r="W756" s="1067"/>
      <c r="X756" s="1067"/>
      <c r="Y756" s="1068"/>
      <c r="Z756" s="1068"/>
      <c r="AA756" s="1068"/>
      <c r="AB756" s="1068"/>
      <c r="AC756" s="1067"/>
      <c r="AD756" s="1067"/>
      <c r="AE756" s="1067"/>
      <c r="AF756" s="1067"/>
      <c r="AG756" s="1771"/>
      <c r="AH756" s="1771"/>
      <c r="AI756" s="1771"/>
      <c r="AJ756" s="17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0" t="s">
        <v>600</v>
      </c>
      <c r="AE759" s="1870"/>
      <c r="AF759" s="187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0" t="s">
        <v>390</v>
      </c>
      <c r="K769" s="1369"/>
      <c r="L769" s="1369"/>
      <c r="M769" s="1369"/>
      <c r="N769" s="1370"/>
      <c r="O769" s="1787" t="s">
        <v>286</v>
      </c>
      <c r="P769" s="1787"/>
      <c r="Q769" s="1787"/>
      <c r="R769" s="1787"/>
      <c r="S769" s="1787"/>
      <c r="T769" s="1413" t="s">
        <v>1869</v>
      </c>
      <c r="U769" s="1414"/>
      <c r="V769" s="1414"/>
      <c r="W769" s="1415"/>
      <c r="X769" s="1500" t="s">
        <v>456</v>
      </c>
      <c r="Y769" s="1369"/>
      <c r="Z769" s="1369"/>
      <c r="AA769" s="1369"/>
      <c r="AB769" s="1370"/>
      <c r="AC769" s="1500"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7"/>
      <c r="P770" s="1787"/>
      <c r="Q770" s="1787"/>
      <c r="R770" s="1787"/>
      <c r="S770" s="1787"/>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7"/>
      <c r="P771" s="1787"/>
      <c r="Q771" s="1787"/>
      <c r="R771" s="1787"/>
      <c r="S771" s="1787"/>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7"/>
      <c r="P772" s="1787"/>
      <c r="Q772" s="1787"/>
      <c r="R772" s="1787"/>
      <c r="S772" s="1787"/>
      <c r="T772" s="1597"/>
      <c r="U772" s="1598"/>
      <c r="V772" s="1598"/>
      <c r="W772" s="1599"/>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85">
        <v>2</v>
      </c>
      <c r="P773" s="1485"/>
      <c r="Q773" s="1485"/>
      <c r="R773" s="1485"/>
      <c r="S773" s="1485"/>
      <c r="T773" s="1381">
        <v>749</v>
      </c>
      <c r="U773" s="1382"/>
      <c r="V773" s="1382"/>
      <c r="W773" s="1383"/>
      <c r="X773" s="1377">
        <v>1012</v>
      </c>
      <c r="Y773" s="1378"/>
      <c r="Z773" s="1378"/>
      <c r="AA773" s="1378"/>
      <c r="AB773" s="1379"/>
      <c r="AC773" s="1358">
        <f>X773*O773</f>
        <v>2024</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5"/>
      <c r="P774" s="1485"/>
      <c r="Q774" s="1485"/>
      <c r="R774" s="1485"/>
      <c r="S774" s="1485"/>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5"/>
      <c r="P775" s="1485"/>
      <c r="Q775" s="1485"/>
      <c r="R775" s="1485"/>
      <c r="S775" s="1485"/>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5"/>
      <c r="P776" s="1485"/>
      <c r="Q776" s="1485"/>
      <c r="R776" s="1485"/>
      <c r="S776" s="1485"/>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5" t="s">
        <v>125</v>
      </c>
      <c r="K777" s="1606"/>
      <c r="L777" s="1606"/>
      <c r="M777" s="1606"/>
      <c r="N777" s="1607"/>
      <c r="O777" s="1398">
        <f>SUM(O773:S776)</f>
        <v>2</v>
      </c>
      <c r="P777" s="1508"/>
      <c r="Q777" s="1508"/>
      <c r="R777" s="1508"/>
      <c r="S777" s="1399"/>
      <c r="X777" s="1605" t="s">
        <v>124</v>
      </c>
      <c r="Y777" s="1606"/>
      <c r="Z777" s="1606"/>
      <c r="AA777" s="1606"/>
      <c r="AB777" s="1607"/>
      <c r="AC777" s="1358">
        <f>SUM(AC773:AG776)</f>
        <v>2024</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1" t="s">
        <v>678</v>
      </c>
      <c r="K779" s="145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0" t="s">
        <v>390</v>
      </c>
      <c r="K783" s="1369"/>
      <c r="L783" s="1369"/>
      <c r="M783" s="1369"/>
      <c r="N783" s="1370"/>
      <c r="O783" s="1787" t="s">
        <v>286</v>
      </c>
      <c r="P783" s="1787"/>
      <c r="Q783" s="1787"/>
      <c r="R783" s="1787"/>
      <c r="S783" s="1787"/>
      <c r="T783" s="1413" t="s">
        <v>1869</v>
      </c>
      <c r="U783" s="1414"/>
      <c r="V783" s="1414"/>
      <c r="W783" s="1415"/>
      <c r="X783" s="1500" t="s">
        <v>456</v>
      </c>
      <c r="Y783" s="1369"/>
      <c r="Z783" s="1369"/>
      <c r="AA783" s="1369"/>
      <c r="AB783" s="1370"/>
      <c r="AC783" s="1500"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7"/>
      <c r="P784" s="1787"/>
      <c r="Q784" s="1787"/>
      <c r="R784" s="1787"/>
      <c r="S784" s="1787"/>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7"/>
      <c r="P785" s="1787"/>
      <c r="Q785" s="1787"/>
      <c r="R785" s="1787"/>
      <c r="S785" s="1787"/>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7"/>
      <c r="P786" s="1787"/>
      <c r="Q786" s="1787"/>
      <c r="R786" s="1787"/>
      <c r="S786" s="1787"/>
      <c r="T786" s="1597"/>
      <c r="U786" s="1598"/>
      <c r="V786" s="1598"/>
      <c r="W786" s="1599"/>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5"/>
      <c r="P787" s="1485"/>
      <c r="Q787" s="1485"/>
      <c r="R787" s="1485"/>
      <c r="S787" s="1485"/>
      <c r="T787" s="1381"/>
      <c r="U787" s="1382"/>
      <c r="V787" s="1382"/>
      <c r="W787" s="1383"/>
      <c r="X787" s="1377"/>
      <c r="Y787" s="1378"/>
      <c r="Z787" s="1378"/>
      <c r="AA787" s="1378"/>
      <c r="AB787" s="1379"/>
      <c r="AC787" s="1358">
        <f t="shared" ref="AC787:AC796" si="7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5"/>
      <c r="P788" s="1485"/>
      <c r="Q788" s="1485"/>
      <c r="R788" s="1485"/>
      <c r="S788" s="1485"/>
      <c r="T788" s="1381"/>
      <c r="U788" s="1382"/>
      <c r="V788" s="1382"/>
      <c r="W788" s="1383"/>
      <c r="X788" s="1377"/>
      <c r="Y788" s="1378"/>
      <c r="Z788" s="1378"/>
      <c r="AA788" s="1378"/>
      <c r="AB788" s="1379"/>
      <c r="AC788" s="1358">
        <f t="shared" si="7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5"/>
      <c r="P789" s="1485"/>
      <c r="Q789" s="1485"/>
      <c r="R789" s="1485"/>
      <c r="S789" s="1485"/>
      <c r="T789" s="1381"/>
      <c r="U789" s="1382"/>
      <c r="V789" s="1382"/>
      <c r="W789" s="1383"/>
      <c r="X789" s="1377"/>
      <c r="Y789" s="1378"/>
      <c r="Z789" s="1378"/>
      <c r="AA789" s="1378"/>
      <c r="AB789" s="1379"/>
      <c r="AC789" s="1358">
        <f t="shared" si="7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5"/>
      <c r="P790" s="1485"/>
      <c r="Q790" s="1485"/>
      <c r="R790" s="1485"/>
      <c r="S790" s="1485"/>
      <c r="T790" s="1381"/>
      <c r="U790" s="1382"/>
      <c r="V790" s="1382"/>
      <c r="W790" s="1383"/>
      <c r="X790" s="1377"/>
      <c r="Y790" s="1378"/>
      <c r="Z790" s="1378"/>
      <c r="AA790" s="1378"/>
      <c r="AB790" s="1379"/>
      <c r="AC790" s="1358">
        <f t="shared" si="7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5"/>
      <c r="P791" s="1485"/>
      <c r="Q791" s="1485"/>
      <c r="R791" s="1485"/>
      <c r="S791" s="1485"/>
      <c r="T791" s="1381"/>
      <c r="U791" s="1382"/>
      <c r="V791" s="1382"/>
      <c r="W791" s="1383"/>
      <c r="X791" s="1377"/>
      <c r="Y791" s="1378"/>
      <c r="Z791" s="1378"/>
      <c r="AA791" s="1378"/>
      <c r="AB791" s="1379"/>
      <c r="AC791" s="1358">
        <f t="shared" si="7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5"/>
      <c r="P792" s="1485"/>
      <c r="Q792" s="1485"/>
      <c r="R792" s="1485"/>
      <c r="S792" s="1485"/>
      <c r="T792" s="1381"/>
      <c r="U792" s="1382"/>
      <c r="V792" s="1382"/>
      <c r="W792" s="1383"/>
      <c r="X792" s="1377"/>
      <c r="Y792" s="1378"/>
      <c r="Z792" s="1378"/>
      <c r="AA792" s="1378"/>
      <c r="AB792" s="1379"/>
      <c r="AC792" s="1358">
        <f t="shared" si="7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5"/>
      <c r="P793" s="1485"/>
      <c r="Q793" s="1485"/>
      <c r="R793" s="1485"/>
      <c r="S793" s="1485"/>
      <c r="T793" s="1381"/>
      <c r="U793" s="1382"/>
      <c r="V793" s="1382"/>
      <c r="W793" s="1383"/>
      <c r="X793" s="1377"/>
      <c r="Y793" s="1378"/>
      <c r="Z793" s="1378"/>
      <c r="AA793" s="1378"/>
      <c r="AB793" s="1379"/>
      <c r="AC793" s="1358">
        <f t="shared" si="7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5"/>
      <c r="P794" s="1485"/>
      <c r="Q794" s="1485"/>
      <c r="R794" s="1485"/>
      <c r="S794" s="1485"/>
      <c r="T794" s="1381"/>
      <c r="U794" s="1382"/>
      <c r="V794" s="1382"/>
      <c r="W794" s="1383"/>
      <c r="X794" s="1377"/>
      <c r="Y794" s="1378"/>
      <c r="Z794" s="1378"/>
      <c r="AA794" s="1378"/>
      <c r="AB794" s="1379"/>
      <c r="AC794" s="1358">
        <f t="shared" si="7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5"/>
      <c r="P795" s="1485"/>
      <c r="Q795" s="1485"/>
      <c r="R795" s="1485"/>
      <c r="S795" s="1485"/>
      <c r="T795" s="1381"/>
      <c r="U795" s="1382"/>
      <c r="V795" s="1382"/>
      <c r="W795" s="1383"/>
      <c r="X795" s="1377"/>
      <c r="Y795" s="1378"/>
      <c r="Z795" s="1378"/>
      <c r="AA795" s="1378"/>
      <c r="AB795" s="1379"/>
      <c r="AC795" s="1358">
        <f t="shared" si="7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5"/>
      <c r="P796" s="1485"/>
      <c r="Q796" s="1485"/>
      <c r="R796" s="1485"/>
      <c r="S796" s="1485"/>
      <c r="T796" s="1381"/>
      <c r="U796" s="1382"/>
      <c r="V796" s="1382"/>
      <c r="W796" s="1383"/>
      <c r="X796" s="1377"/>
      <c r="Y796" s="1378"/>
      <c r="Z796" s="1378"/>
      <c r="AA796" s="1378"/>
      <c r="AB796" s="1379"/>
      <c r="AC796" s="1358">
        <f t="shared" si="7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1" t="s">
        <v>478</v>
      </c>
      <c r="BO796" s="1742"/>
      <c r="BP796" s="3"/>
      <c r="BQ796" s="3"/>
      <c r="BR796" s="3"/>
      <c r="BS796" s="14" t="s">
        <v>643</v>
      </c>
      <c r="BT796" s="14"/>
      <c r="BU796" s="14"/>
      <c r="BV796" s="14"/>
      <c r="BW796" s="14"/>
      <c r="BX796" s="14"/>
      <c r="BY796" s="14"/>
      <c r="BZ796" s="14"/>
      <c r="CA796" s="14"/>
      <c r="CB796" s="1738" t="str">
        <f>T189</f>
        <v>Los Angeles</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5" t="s">
        <v>125</v>
      </c>
      <c r="K797" s="1606"/>
      <c r="L797" s="1606"/>
      <c r="M797" s="1606"/>
      <c r="N797" s="1607"/>
      <c r="O797" s="1600">
        <f>SUM(O787:S796)</f>
        <v>0</v>
      </c>
      <c r="P797" s="1600"/>
      <c r="Q797" s="1600"/>
      <c r="R797" s="1600"/>
      <c r="S797" s="1600"/>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284480</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3413760</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4"/>
      <c r="AA806" s="1595"/>
      <c r="AB806" s="1595"/>
      <c r="AC806" s="1595"/>
      <c r="AD806" s="1595"/>
      <c r="AE806" s="159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4"/>
      <c r="AA807" s="1595"/>
      <c r="AB807" s="1595"/>
      <c r="AC807" s="1595"/>
      <c r="AD807" s="1595"/>
      <c r="AE807" s="159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0">
        <f>'Subsidy Contract Calculation'!J40</f>
        <v>0</v>
      </c>
      <c r="AA809" s="1623"/>
      <c r="AB809" s="1623"/>
      <c r="AC809" s="1623"/>
      <c r="AD809" s="1623"/>
      <c r="AE809" s="162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14160</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v>60</v>
      </c>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2749</v>
      </c>
      <c r="Q816" s="1615"/>
      <c r="R816" s="1615"/>
      <c r="S816" s="1615"/>
      <c r="T816" s="1615"/>
      <c r="U816" s="1615"/>
      <c r="V816" s="1615"/>
      <c r="W816" s="1615"/>
      <c r="X816" s="1615"/>
      <c r="Y816" s="1616"/>
      <c r="Z816" s="1576">
        <f>170688-Z815-Z813+95500</f>
        <v>251968</v>
      </c>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0">
        <f>SUM(Z813:AE816)</f>
        <v>266188</v>
      </c>
      <c r="AA817" s="1623"/>
      <c r="AB817" s="1623"/>
      <c r="AC817" s="1623"/>
      <c r="AD817" s="1623"/>
      <c r="AE817" s="162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0">
        <f>Z817+Y801+Z809</f>
        <v>3679948</v>
      </c>
      <c r="AA818" s="1623"/>
      <c r="AB818" s="1623"/>
      <c r="AC818" s="1623"/>
      <c r="AD818" s="1623"/>
      <c r="AE818" s="162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8" t="s">
        <v>126</v>
      </c>
      <c r="N823" s="1608"/>
      <c r="O823" s="1608"/>
      <c r="P823" s="1609"/>
      <c r="Q823" s="1617" t="s">
        <v>291</v>
      </c>
      <c r="R823" s="1617"/>
      <c r="S823" s="1617"/>
      <c r="T823" s="1617"/>
      <c r="U823" s="1617" t="s">
        <v>292</v>
      </c>
      <c r="V823" s="1617"/>
      <c r="W823" s="1617"/>
      <c r="X823" s="1617"/>
      <c r="Y823" s="1617" t="s">
        <v>293</v>
      </c>
      <c r="Z823" s="1617"/>
      <c r="AA823" s="1617"/>
      <c r="AB823" s="1617"/>
      <c r="AC823" s="1617" t="s">
        <v>362</v>
      </c>
      <c r="AD823" s="1617"/>
      <c r="AE823" s="1617"/>
      <c r="AF823" s="1617"/>
      <c r="AG823" s="1613" t="s">
        <v>336</v>
      </c>
      <c r="AH823" s="1613"/>
      <c r="AI823" s="1613"/>
      <c r="AJ823" s="161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0"/>
      <c r="N824" s="1610"/>
      <c r="O824" s="1610"/>
      <c r="P824" s="1611"/>
      <c r="Q824" s="1617"/>
      <c r="R824" s="1617"/>
      <c r="S824" s="1617"/>
      <c r="T824" s="1617"/>
      <c r="U824" s="1617"/>
      <c r="V824" s="1617"/>
      <c r="W824" s="1617"/>
      <c r="X824" s="1617"/>
      <c r="Y824" s="1617"/>
      <c r="Z824" s="1617"/>
      <c r="AA824" s="1617"/>
      <c r="AB824" s="1617"/>
      <c r="AC824" s="1617"/>
      <c r="AD824" s="1617"/>
      <c r="AE824" s="1617"/>
      <c r="AF824" s="1617"/>
      <c r="AG824" s="1613"/>
      <c r="AH824" s="1613"/>
      <c r="AI824" s="1613"/>
      <c r="AJ824" s="161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3" t="s">
        <v>40</v>
      </c>
      <c r="D825" s="1507"/>
      <c r="E825" s="1507"/>
      <c r="F825" s="1507"/>
      <c r="G825" s="1507"/>
      <c r="H825" s="1507"/>
      <c r="I825" s="48"/>
      <c r="J825" s="48"/>
      <c r="K825" s="48"/>
      <c r="L825" s="49"/>
      <c r="M825" s="1592"/>
      <c r="N825" s="1592"/>
      <c r="O825" s="1592"/>
      <c r="P825" s="1592"/>
      <c r="Q825" s="1592">
        <v>25</v>
      </c>
      <c r="R825" s="1592"/>
      <c r="S825" s="1592"/>
      <c r="T825" s="1592"/>
      <c r="U825" s="1592">
        <v>33</v>
      </c>
      <c r="V825" s="1592"/>
      <c r="W825" s="1592"/>
      <c r="X825" s="1592"/>
      <c r="Y825" s="1592">
        <v>42</v>
      </c>
      <c r="Z825" s="1592"/>
      <c r="AA825" s="1592"/>
      <c r="AB825" s="1592"/>
      <c r="AC825" s="1583">
        <v>57</v>
      </c>
      <c r="AD825" s="1584"/>
      <c r="AE825" s="1584"/>
      <c r="AF825" s="1585"/>
      <c r="AG825" s="1583"/>
      <c r="AH825" s="1584"/>
      <c r="AI825" s="1584"/>
      <c r="AJ825" s="158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0" t="s">
        <v>41</v>
      </c>
      <c r="D826" s="1448"/>
      <c r="E826" s="1448"/>
      <c r="F826" s="1448"/>
      <c r="G826" s="1448"/>
      <c r="H826" s="1448"/>
      <c r="I826" s="5"/>
      <c r="J826" s="5"/>
      <c r="K826" s="5"/>
      <c r="L826" s="46"/>
      <c r="M826" s="1592"/>
      <c r="N826" s="1592"/>
      <c r="O826" s="1592"/>
      <c r="P826" s="1592"/>
      <c r="Q826" s="1592">
        <v>19</v>
      </c>
      <c r="R826" s="1592"/>
      <c r="S826" s="1592"/>
      <c r="T826" s="1592"/>
      <c r="U826" s="1592">
        <v>25</v>
      </c>
      <c r="V826" s="1592"/>
      <c r="W826" s="1592"/>
      <c r="X826" s="1592"/>
      <c r="Y826" s="1592">
        <v>31</v>
      </c>
      <c r="Z826" s="1592"/>
      <c r="AA826" s="1592"/>
      <c r="AB826" s="1592"/>
      <c r="AC826" s="1583">
        <v>39</v>
      </c>
      <c r="AD826" s="1584"/>
      <c r="AE826" s="1584"/>
      <c r="AF826" s="1585"/>
      <c r="AG826" s="1583"/>
      <c r="AH826" s="1584"/>
      <c r="AI826" s="1584"/>
      <c r="AJ826" s="158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0" t="s">
        <v>42</v>
      </c>
      <c r="D827" s="1448"/>
      <c r="E827" s="1448"/>
      <c r="F827" s="1448"/>
      <c r="G827" s="1448"/>
      <c r="H827" s="1448"/>
      <c r="I827" s="60"/>
      <c r="J827" s="60"/>
      <c r="K827" s="60"/>
      <c r="L827" s="61"/>
      <c r="M827" s="1592"/>
      <c r="N827" s="1592"/>
      <c r="O827" s="1592"/>
      <c r="P827" s="1592"/>
      <c r="Q827" s="1592">
        <v>10</v>
      </c>
      <c r="R827" s="1592"/>
      <c r="S827" s="1592"/>
      <c r="T827" s="1592"/>
      <c r="U827" s="1592">
        <v>13</v>
      </c>
      <c r="V827" s="1592"/>
      <c r="W827" s="1592"/>
      <c r="X827" s="1592"/>
      <c r="Y827" s="1592">
        <v>16</v>
      </c>
      <c r="Z827" s="1592"/>
      <c r="AA827" s="1592"/>
      <c r="AB827" s="1592"/>
      <c r="AC827" s="1583">
        <v>20</v>
      </c>
      <c r="AD827" s="1584"/>
      <c r="AE827" s="1584"/>
      <c r="AF827" s="1585"/>
      <c r="AG827" s="1583"/>
      <c r="AH827" s="1584"/>
      <c r="AI827" s="1584"/>
      <c r="AJ827" s="158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0" t="s">
        <v>772</v>
      </c>
      <c r="D828" s="1448"/>
      <c r="E828" s="1448"/>
      <c r="F828" s="1448"/>
      <c r="G828" s="1448"/>
      <c r="H828" s="1448"/>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3"/>
      <c r="AD828" s="1584"/>
      <c r="AE828" s="1584"/>
      <c r="AF828" s="1585"/>
      <c r="AG828" s="1583"/>
      <c r="AH828" s="1584"/>
      <c r="AI828" s="1584"/>
      <c r="AJ828" s="158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0" t="s">
        <v>468</v>
      </c>
      <c r="D829" s="1448"/>
      <c r="E829" s="1448"/>
      <c r="F829" s="1448"/>
      <c r="G829" s="1448"/>
      <c r="H829" s="1448"/>
      <c r="I829" s="60"/>
      <c r="J829" s="60"/>
      <c r="K829" s="60"/>
      <c r="L829" s="61"/>
      <c r="M829" s="1592"/>
      <c r="N829" s="1592"/>
      <c r="O829" s="1592"/>
      <c r="P829" s="1592"/>
      <c r="Q829" s="1592">
        <v>33</v>
      </c>
      <c r="R829" s="1592"/>
      <c r="S829" s="1592"/>
      <c r="T829" s="1592"/>
      <c r="U829" s="1592">
        <v>40</v>
      </c>
      <c r="V829" s="1592"/>
      <c r="W829" s="1592"/>
      <c r="X829" s="1592"/>
      <c r="Y829" s="1592">
        <v>48</v>
      </c>
      <c r="Z829" s="1592"/>
      <c r="AA829" s="1592"/>
      <c r="AB829" s="1592"/>
      <c r="AC829" s="1583">
        <v>56</v>
      </c>
      <c r="AD829" s="1584"/>
      <c r="AE829" s="1584"/>
      <c r="AF829" s="1585"/>
      <c r="AG829" s="1583"/>
      <c r="AH829" s="1584"/>
      <c r="AI829" s="1584"/>
      <c r="AJ829" s="158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59" t="s">
        <v>793</v>
      </c>
      <c r="D830" s="1448"/>
      <c r="E830" s="1448"/>
      <c r="F830" s="1448"/>
      <c r="G830" s="1448"/>
      <c r="H830" s="1448"/>
      <c r="I830" s="60"/>
      <c r="J830" s="60"/>
      <c r="K830" s="60"/>
      <c r="L830" s="61"/>
      <c r="M830" s="1592"/>
      <c r="N830" s="1592"/>
      <c r="O830" s="1592"/>
      <c r="P830" s="1592"/>
      <c r="Q830" s="1592">
        <v>36</v>
      </c>
      <c r="R830" s="1592"/>
      <c r="S830" s="1592"/>
      <c r="T830" s="1592"/>
      <c r="U830" s="1592">
        <v>45</v>
      </c>
      <c r="V830" s="1592"/>
      <c r="W830" s="1592"/>
      <c r="X830" s="1592"/>
      <c r="Y830" s="1592">
        <v>63</v>
      </c>
      <c r="Z830" s="1592"/>
      <c r="AA830" s="1592"/>
      <c r="AB830" s="1592"/>
      <c r="AC830" s="1583">
        <v>81</v>
      </c>
      <c r="AD830" s="1584"/>
      <c r="AE830" s="1584"/>
      <c r="AF830" s="1585"/>
      <c r="AG830" s="1583"/>
      <c r="AH830" s="1584"/>
      <c r="AI830" s="1584"/>
      <c r="AJ830" s="158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4" t="s">
        <v>2750</v>
      </c>
      <c r="G831" s="1615"/>
      <c r="H831" s="1615"/>
      <c r="I831" s="1615"/>
      <c r="J831" s="1615"/>
      <c r="K831" s="1615"/>
      <c r="L831" s="1615"/>
      <c r="M831" s="1592"/>
      <c r="N831" s="1592"/>
      <c r="O831" s="1592"/>
      <c r="P831" s="1592"/>
      <c r="Q831" s="1592">
        <v>62</v>
      </c>
      <c r="R831" s="1592"/>
      <c r="S831" s="1592"/>
      <c r="T831" s="1592"/>
      <c r="U831" s="1592">
        <v>68</v>
      </c>
      <c r="V831" s="1592"/>
      <c r="W831" s="1592"/>
      <c r="X831" s="1592"/>
      <c r="Y831" s="1592">
        <v>76</v>
      </c>
      <c r="Z831" s="1592"/>
      <c r="AA831" s="1592"/>
      <c r="AB831" s="1592"/>
      <c r="AC831" s="1583">
        <v>86</v>
      </c>
      <c r="AD831" s="1584"/>
      <c r="AE831" s="1584"/>
      <c r="AF831" s="1585"/>
      <c r="AG831" s="1583"/>
      <c r="AH831" s="1584"/>
      <c r="AI831" s="1584"/>
      <c r="AJ831" s="158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5" t="s">
        <v>124</v>
      </c>
      <c r="D832" s="1606"/>
      <c r="E832" s="1606"/>
      <c r="F832" s="1606"/>
      <c r="G832" s="1606"/>
      <c r="H832" s="1606"/>
      <c r="I832" s="1606"/>
      <c r="J832" s="1606"/>
      <c r="K832" s="1606"/>
      <c r="L832" s="1607"/>
      <c r="M832" s="1629">
        <f>SUM(M825:P831)</f>
        <v>0</v>
      </c>
      <c r="N832" s="1629"/>
      <c r="O832" s="1629"/>
      <c r="P832" s="1629"/>
      <c r="Q832" s="1629">
        <f>SUM(Q825:T831)</f>
        <v>185</v>
      </c>
      <c r="R832" s="1629"/>
      <c r="S832" s="1629"/>
      <c r="T832" s="1629"/>
      <c r="U832" s="1629">
        <f>SUM(U825:X831)</f>
        <v>224</v>
      </c>
      <c r="V832" s="1629"/>
      <c r="W832" s="1629"/>
      <c r="X832" s="1629"/>
      <c r="Y832" s="1629">
        <f>SUM(Y825:AB831)</f>
        <v>276</v>
      </c>
      <c r="Z832" s="1629"/>
      <c r="AA832" s="1629"/>
      <c r="AB832" s="1629"/>
      <c r="AC832" s="1629">
        <f>SUM(AC825:AF831)</f>
        <v>339</v>
      </c>
      <c r="AD832" s="1629"/>
      <c r="AE832" s="1629"/>
      <c r="AF832" s="1629"/>
      <c r="AG832" s="1629">
        <f>SUM(AG825:AJ831)</f>
        <v>0</v>
      </c>
      <c r="AH832" s="1629"/>
      <c r="AI832" s="1629"/>
      <c r="AJ832" s="1629"/>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2" t="s">
        <v>2751</v>
      </c>
      <c r="D837" s="1733"/>
      <c r="E837" s="1733"/>
      <c r="F837" s="1733"/>
      <c r="G837" s="1733"/>
      <c r="H837" s="1733"/>
      <c r="I837" s="1733"/>
      <c r="J837" s="1733"/>
      <c r="K837" s="1733"/>
      <c r="L837" s="1733"/>
      <c r="M837" s="1733"/>
      <c r="N837" s="1733"/>
      <c r="O837" s="1733"/>
      <c r="P837" s="1733"/>
      <c r="Q837" s="1733"/>
      <c r="R837" s="1733"/>
      <c r="S837" s="1733"/>
      <c r="T837" s="1733"/>
      <c r="U837" s="1733"/>
      <c r="V837" s="1733"/>
      <c r="W837" s="1733"/>
      <c r="X837" s="1733"/>
      <c r="Y837" s="1733"/>
      <c r="Z837" s="1733"/>
      <c r="AA837" s="1733"/>
      <c r="AB837" s="1733"/>
      <c r="AC837" s="1733"/>
      <c r="AD837" s="1733"/>
      <c r="AE837" s="1733"/>
      <c r="AF837" s="1733"/>
      <c r="AG837" s="1733"/>
      <c r="AH837" s="1733"/>
      <c r="AI837" s="1733"/>
      <c r="AJ837" s="173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f>ROUNDDOWN(BC939*2,2)</f>
        <v>0</v>
      </c>
      <c r="BJ841" s="1645"/>
      <c r="BK841" s="1645"/>
      <c r="BL841" s="164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2">
        <v>14325</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2">
        <v>28650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2"/>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2"/>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4" t="s">
        <v>2752</v>
      </c>
      <c r="N846" s="1615"/>
      <c r="O846" s="1615"/>
      <c r="P846" s="1615"/>
      <c r="Q846" s="1615"/>
      <c r="R846" s="1615"/>
      <c r="S846" s="1615"/>
      <c r="T846" s="1615"/>
      <c r="U846" s="1615"/>
      <c r="V846" s="1616"/>
      <c r="W846" s="1612">
        <v>57300</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0">
        <f>SUM(W842:AC846)</f>
        <v>100275</v>
      </c>
      <c r="X847" s="1623"/>
      <c r="Y847" s="1623"/>
      <c r="Z847" s="1623"/>
      <c r="AA847" s="1623"/>
      <c r="AB847" s="1623"/>
      <c r="AC847" s="162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7"/>
      <c r="BH848" s="1637"/>
      <c r="BI848" s="1637"/>
      <c r="BJ848" s="1637"/>
      <c r="BK848" s="1637"/>
      <c r="BL848" s="163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5" t="s">
        <v>346</v>
      </c>
      <c r="K849" s="1606"/>
      <c r="L849" s="1606"/>
      <c r="M849" s="1606"/>
      <c r="N849" s="1606"/>
      <c r="O849" s="1606"/>
      <c r="P849" s="1606"/>
      <c r="Q849" s="1606"/>
      <c r="R849" s="1606"/>
      <c r="S849" s="1606"/>
      <c r="T849" s="1606"/>
      <c r="U849" s="1606"/>
      <c r="V849" s="1607"/>
      <c r="W849" s="1576">
        <v>110947</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1"/>
      <c r="X851" s="1631"/>
      <c r="Y851" s="1631"/>
      <c r="Z851" s="1631"/>
      <c r="AA851" s="1631"/>
      <c r="AB851" s="1631"/>
      <c r="AC851" s="1631"/>
      <c r="AZ851" s="1632">
        <f>SUM(AZ818:AZ846)</f>
        <v>0</v>
      </c>
      <c r="BA851" s="163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1"/>
      <c r="X852" s="1631"/>
      <c r="Y852" s="1631"/>
      <c r="Z852" s="1631"/>
      <c r="AA852" s="1631"/>
      <c r="AB852" s="1631"/>
      <c r="AC852" s="163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1">
        <v>14325</v>
      </c>
      <c r="X853" s="1631"/>
      <c r="Y853" s="1631"/>
      <c r="Z853" s="1631"/>
      <c r="AA853" s="1631"/>
      <c r="AB853" s="1631"/>
      <c r="AC853" s="163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1">
        <v>14325</v>
      </c>
      <c r="X854" s="1631"/>
      <c r="Y854" s="1631"/>
      <c r="Z854" s="1631"/>
      <c r="AA854" s="1631"/>
      <c r="AB854" s="1631"/>
      <c r="AC854" s="163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28">
        <f>SUM(W851:AC854)</f>
        <v>28650</v>
      </c>
      <c r="X855" s="1628"/>
      <c r="Y855" s="1628"/>
      <c r="Z855" s="1628"/>
      <c r="AA855" s="1628"/>
      <c r="AB855" s="1628"/>
      <c r="AC855" s="162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1">
        <v>171900</v>
      </c>
      <c r="X857" s="1602"/>
      <c r="Y857" s="1602"/>
      <c r="Z857" s="1602"/>
      <c r="AA857" s="1602"/>
      <c r="AB857" s="1602"/>
      <c r="AC857" s="160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38">
        <v>4</v>
      </c>
      <c r="U858" s="1572"/>
      <c r="V858" s="163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1">
        <v>171900</v>
      </c>
      <c r="X859" s="1602"/>
      <c r="Y859" s="1602"/>
      <c r="Z859" s="1602"/>
      <c r="AA859" s="1602"/>
      <c r="AB859" s="1602"/>
      <c r="AC859" s="160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38">
        <v>1</v>
      </c>
      <c r="U860" s="1572"/>
      <c r="V860" s="163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4" t="s">
        <v>2753</v>
      </c>
      <c r="N861" s="1615"/>
      <c r="O861" s="1615"/>
      <c r="P861" s="1615"/>
      <c r="Q861" s="1615"/>
      <c r="R861" s="1615"/>
      <c r="S861" s="1615"/>
      <c r="T861" s="1615"/>
      <c r="U861" s="1615"/>
      <c r="V861" s="1616"/>
      <c r="W861" s="1601">
        <v>12144</v>
      </c>
      <c r="X861" s="1602"/>
      <c r="Y861" s="1602"/>
      <c r="Z861" s="1602"/>
      <c r="AA861" s="1602"/>
      <c r="AB861" s="1602"/>
      <c r="AC861" s="160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0">
        <f>SUM(W857:AC861)</f>
        <v>355944</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1">
        <v>171900</v>
      </c>
      <c r="X863" s="1602"/>
      <c r="Y863" s="1602"/>
      <c r="Z863" s="1602"/>
      <c r="AA863" s="1602"/>
      <c r="AB863" s="1602"/>
      <c r="AC863" s="160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2"/>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2">
        <v>57300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2">
        <v>95500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2"/>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2">
        <v>62075</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2"/>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4" t="s">
        <v>2754</v>
      </c>
      <c r="N871" s="1615"/>
      <c r="O871" s="1615"/>
      <c r="P871" s="1615"/>
      <c r="Q871" s="1615"/>
      <c r="R871" s="1615"/>
      <c r="S871" s="1615"/>
      <c r="T871" s="1615"/>
      <c r="U871" s="1615"/>
      <c r="V871" s="1616"/>
      <c r="W871" s="1612">
        <f>28650+57300</f>
        <v>85950</v>
      </c>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4">
        <f>SUM(W865:AC871)</f>
        <v>300825</v>
      </c>
      <c r="X872" s="1604"/>
      <c r="Y872" s="1604"/>
      <c r="Z872" s="1604"/>
      <c r="AA872" s="1604"/>
      <c r="AB872" s="1604"/>
      <c r="AC872" s="160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4" t="s">
        <v>335</v>
      </c>
      <c r="N874" s="1615"/>
      <c r="O874" s="1615"/>
      <c r="P874" s="1615"/>
      <c r="Q874" s="1615"/>
      <c r="R874" s="1615"/>
      <c r="S874" s="1615"/>
      <c r="T874" s="1615"/>
      <c r="U874" s="1615"/>
      <c r="V874" s="1616"/>
      <c r="W874" s="1576"/>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4" t="s">
        <v>335</v>
      </c>
      <c r="N875" s="1615"/>
      <c r="O875" s="1615"/>
      <c r="P875" s="1615"/>
      <c r="Q875" s="1615"/>
      <c r="R875" s="1615"/>
      <c r="S875" s="1615"/>
      <c r="T875" s="1615"/>
      <c r="U875" s="1615"/>
      <c r="V875" s="1616"/>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4" t="s">
        <v>335</v>
      </c>
      <c r="N876" s="1615"/>
      <c r="O876" s="1615"/>
      <c r="P876" s="1615"/>
      <c r="Q876" s="1615"/>
      <c r="R876" s="1615"/>
      <c r="S876" s="1615"/>
      <c r="T876" s="1615"/>
      <c r="U876" s="1615"/>
      <c r="V876" s="1616"/>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4" t="s">
        <v>335</v>
      </c>
      <c r="N877" s="1615"/>
      <c r="O877" s="1615"/>
      <c r="P877" s="1615"/>
      <c r="Q877" s="1615"/>
      <c r="R877" s="1615"/>
      <c r="S877" s="1615"/>
      <c r="T877" s="1615"/>
      <c r="U877" s="1615"/>
      <c r="V877" s="1616"/>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4" t="s">
        <v>335</v>
      </c>
      <c r="N878" s="1615"/>
      <c r="O878" s="1615"/>
      <c r="P878" s="1615"/>
      <c r="Q878" s="1615"/>
      <c r="R878" s="1615"/>
      <c r="S878" s="1615"/>
      <c r="T878" s="1615"/>
      <c r="U878" s="1615"/>
      <c r="V878" s="1616"/>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0">
        <f>SUM(W874:AC878)</f>
        <v>0</v>
      </c>
      <c r="X879" s="1623"/>
      <c r="Y879" s="1623"/>
      <c r="Z879" s="1623"/>
      <c r="AA879" s="1623"/>
      <c r="AB879" s="1623"/>
      <c r="AC879" s="162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3">
        <f>W847+W855+W862+W863+W872+W879+W849</f>
        <v>1068541</v>
      </c>
      <c r="AD883" s="1623"/>
      <c r="AE883" s="1623"/>
      <c r="AF883" s="1623"/>
      <c r="AG883" s="1623"/>
      <c r="AH883" s="162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1">
        <f>O797+O777+G753</f>
        <v>191</v>
      </c>
      <c r="AD884" s="1621"/>
      <c r="AE884" s="1621"/>
      <c r="AF884" s="1621"/>
      <c r="AG884" s="1621"/>
      <c r="AH884" s="162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1" t="s">
        <v>32</v>
      </c>
      <c r="F885" s="1751"/>
      <c r="G885" s="1751"/>
      <c r="H885" s="1751"/>
      <c r="I885" s="1751"/>
      <c r="J885" s="1751"/>
      <c r="K885" s="1751"/>
      <c r="L885" s="1751"/>
      <c r="M885" s="1751"/>
      <c r="N885" s="1751"/>
      <c r="O885" s="1751"/>
      <c r="P885" s="1751"/>
      <c r="Q885" s="1751"/>
      <c r="R885" s="1751"/>
      <c r="S885" s="1751"/>
      <c r="T885" s="1751"/>
      <c r="U885" s="1751"/>
      <c r="V885" s="1751"/>
      <c r="W885" s="1751"/>
      <c r="X885" s="1751"/>
      <c r="Y885" s="1751"/>
      <c r="Z885" s="1751"/>
      <c r="AA885" s="1751"/>
      <c r="AB885" s="1752"/>
      <c r="AC885" s="1604">
        <f>IF(ISERROR((ROUNDDOWN(AC883/AC884,0))),0,(ROUNDDOWN(AC883/AC884,0)))</f>
        <v>5594</v>
      </c>
      <c r="AD885" s="1604"/>
      <c r="AE885" s="1604"/>
      <c r="AF885" s="1604"/>
      <c r="AG885" s="1604"/>
      <c r="AH885" s="160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3">
        <v>1061398</v>
      </c>
      <c r="AD886" s="1644"/>
      <c r="AE886" s="1644"/>
      <c r="AF886" s="1644"/>
      <c r="AG886" s="1644"/>
      <c r="AH886" s="164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8"/>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7">
        <v>33240</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47750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3"/>
      <c r="AD890" s="1584"/>
      <c r="AE890" s="1584"/>
      <c r="AF890" s="1584"/>
      <c r="AG890" s="1584"/>
      <c r="AH890" s="158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5" t="s">
        <v>976</v>
      </c>
      <c r="D893" s="1626"/>
      <c r="E893" s="1626"/>
      <c r="F893" s="1626"/>
      <c r="G893" s="1626"/>
      <c r="H893" s="1626"/>
      <c r="I893" s="1626"/>
      <c r="J893" s="1626"/>
      <c r="K893" s="1626"/>
      <c r="L893" s="1626"/>
      <c r="M893" s="1626"/>
      <c r="N893" s="1626"/>
      <c r="O893" s="1626"/>
      <c r="P893" s="1626"/>
      <c r="Q893" s="1626"/>
      <c r="R893" s="1626"/>
      <c r="S893" s="1626"/>
      <c r="T893" s="1626"/>
      <c r="U893" s="1626"/>
      <c r="V893" s="1626"/>
      <c r="W893" s="1626"/>
      <c r="X893" s="1626"/>
      <c r="Y893" s="1626"/>
      <c r="Z893" s="1626"/>
      <c r="AA893" s="1626"/>
      <c r="AB893" s="1627"/>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5" t="s">
        <v>976</v>
      </c>
      <c r="D894" s="1626"/>
      <c r="E894" s="1626"/>
      <c r="F894" s="1626"/>
      <c r="G894" s="1626"/>
      <c r="H894" s="1626"/>
      <c r="I894" s="1626"/>
      <c r="J894" s="1626"/>
      <c r="K894" s="1626"/>
      <c r="L894" s="1626"/>
      <c r="M894" s="1626"/>
      <c r="N894" s="1626"/>
      <c r="O894" s="1626"/>
      <c r="P894" s="1626"/>
      <c r="Q894" s="1626"/>
      <c r="R894" s="1626"/>
      <c r="S894" s="1626"/>
      <c r="T894" s="1626"/>
      <c r="U894" s="1626"/>
      <c r="V894" s="1626"/>
      <c r="W894" s="1626"/>
      <c r="X894" s="1626"/>
      <c r="Y894" s="1626"/>
      <c r="Z894" s="1626"/>
      <c r="AA894" s="1626"/>
      <c r="AB894" s="1627"/>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36"/>
      <c r="BE898" s="163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36"/>
      <c r="BE899" s="163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37"/>
      <c r="BE900" s="163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0">
        <f>Z898-(Z899+Z900)</f>
        <v>0</v>
      </c>
      <c r="AA901" s="1623"/>
      <c r="AB901" s="1623"/>
      <c r="AC901" s="1623"/>
      <c r="AD901" s="1623"/>
      <c r="AE901" s="1624"/>
      <c r="AZ901" s="34"/>
      <c r="BB901" s="30"/>
      <c r="BC901" s="850"/>
      <c r="BD901" s="1637"/>
      <c r="BE901" s="163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7"/>
      <c r="BE902" s="163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6"/>
      <c r="BE903" s="163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6"/>
      <c r="BE904" s="1646"/>
      <c r="BF904" s="16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5"/>
      <c r="BE905" s="1645"/>
      <c r="BF905" s="164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7"/>
      <c r="BE906" s="163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6"/>
      <c r="BE907" s="163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4" t="s">
        <v>96</v>
      </c>
      <c r="B909" s="1654"/>
      <c r="C909" s="1654"/>
      <c r="D909" s="1654"/>
      <c r="E909" s="1654"/>
      <c r="F909" s="1654"/>
      <c r="G909" s="1654"/>
      <c r="H909" s="1654"/>
      <c r="I909" s="1654"/>
      <c r="J909" s="1654"/>
      <c r="K909" s="1654"/>
      <c r="L909" s="1654"/>
      <c r="M909" s="1654"/>
      <c r="N909" s="1654"/>
      <c r="O909" s="1654"/>
      <c r="P909" s="1654"/>
      <c r="Q909" s="1654"/>
      <c r="R909" s="1654"/>
      <c r="S909" s="1654"/>
      <c r="T909" s="1654"/>
      <c r="U909" s="1654"/>
      <c r="V909" s="1654"/>
      <c r="W909" s="1654"/>
      <c r="X909" s="1654"/>
      <c r="Y909" s="1654"/>
      <c r="Z909" s="1654"/>
      <c r="AA909" s="1654"/>
      <c r="AB909" s="1654"/>
      <c r="AC909" s="1654"/>
      <c r="AD909" s="1654"/>
      <c r="AE909" s="1654"/>
      <c r="AF909" s="1654"/>
      <c r="AG909" s="1654"/>
      <c r="AH909" s="1654"/>
      <c r="AI909" s="1654"/>
      <c r="AJ909" s="1654"/>
      <c r="AK909" s="1654"/>
      <c r="AL909" s="1654"/>
      <c r="AM909" s="1654"/>
      <c r="AN909" s="1654"/>
      <c r="AO909" s="1654"/>
      <c r="AP909" s="1654"/>
      <c r="AQ909" s="1654"/>
      <c r="AR909" s="1654"/>
      <c r="AS909" s="1654"/>
      <c r="AT909" s="1654"/>
      <c r="AZ909" s="34"/>
      <c r="BA909" s="34"/>
      <c r="BB909" s="30"/>
      <c r="BC909" s="30"/>
      <c r="BD909" s="1636"/>
      <c r="BE909" s="163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4"/>
      <c r="B910" s="1654"/>
      <c r="C910" s="1654"/>
      <c r="D910" s="1654"/>
      <c r="E910" s="1654"/>
      <c r="F910" s="1654"/>
      <c r="G910" s="1654"/>
      <c r="H910" s="1654"/>
      <c r="I910" s="1654"/>
      <c r="J910" s="1654"/>
      <c r="K910" s="1654"/>
      <c r="L910" s="1654"/>
      <c r="M910" s="1654"/>
      <c r="N910" s="1654"/>
      <c r="O910" s="1654"/>
      <c r="P910" s="1654"/>
      <c r="Q910" s="1654"/>
      <c r="R910" s="1654"/>
      <c r="S910" s="1654"/>
      <c r="T910" s="1654"/>
      <c r="U910" s="1654"/>
      <c r="V910" s="1654"/>
      <c r="W910" s="1654"/>
      <c r="X910" s="1654"/>
      <c r="Y910" s="1654"/>
      <c r="Z910" s="1654"/>
      <c r="AA910" s="1654"/>
      <c r="AB910" s="1654"/>
      <c r="AC910" s="1654"/>
      <c r="AD910" s="1654"/>
      <c r="AE910" s="1654"/>
      <c r="AF910" s="1654"/>
      <c r="AG910" s="1654"/>
      <c r="AH910" s="1654"/>
      <c r="AI910" s="1654"/>
      <c r="AJ910" s="1654"/>
      <c r="AK910" s="1654"/>
      <c r="AL910" s="1654"/>
      <c r="AM910" s="1654"/>
      <c r="AN910" s="1654"/>
      <c r="AO910" s="1654"/>
      <c r="AP910" s="1654"/>
      <c r="AQ910" s="1654"/>
      <c r="AR910" s="1654"/>
      <c r="AS910" s="1654"/>
      <c r="AT910" s="16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5" t="s">
        <v>802</v>
      </c>
      <c r="G914" s="1846"/>
      <c r="H914" s="1846"/>
      <c r="I914" s="1846"/>
      <c r="J914" s="1846"/>
      <c r="K914" s="1846"/>
      <c r="L914" s="1846"/>
      <c r="M914" s="1846"/>
      <c r="N914" s="1846"/>
      <c r="O914" s="1846"/>
      <c r="P914" s="1846"/>
      <c r="Q914" s="1846"/>
      <c r="R914" s="1846"/>
      <c r="S914" s="1846"/>
      <c r="T914" s="1847"/>
      <c r="U914" s="1647" t="s">
        <v>31</v>
      </c>
      <c r="V914" s="1608"/>
      <c r="W914" s="1608"/>
      <c r="X914" s="1608"/>
      <c r="Y914" s="1608"/>
      <c r="Z914" s="160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8" t="s">
        <v>828</v>
      </c>
      <c r="G915" s="1649"/>
      <c r="H915" s="1649"/>
      <c r="I915" s="1649"/>
      <c r="J915" s="1649"/>
      <c r="K915" s="1649"/>
      <c r="L915" s="1649"/>
      <c r="M915" s="1649"/>
      <c r="N915" s="1649"/>
      <c r="O915" s="1649"/>
      <c r="P915" s="1649"/>
      <c r="Q915" s="1649"/>
      <c r="R915" s="1649"/>
      <c r="S915" s="1649"/>
      <c r="T915" s="1826"/>
      <c r="U915" s="1648"/>
      <c r="V915" s="1649"/>
      <c r="W915" s="1649"/>
      <c r="X915" s="1649"/>
      <c r="Y915" s="1649"/>
      <c r="Z915" s="164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0"/>
      <c r="G916" s="1610"/>
      <c r="H916" s="1610"/>
      <c r="I916" s="1610"/>
      <c r="J916" s="1610"/>
      <c r="K916" s="1610"/>
      <c r="L916" s="1610"/>
      <c r="M916" s="1610"/>
      <c r="N916" s="1610"/>
      <c r="O916" s="1610"/>
      <c r="P916" s="1610"/>
      <c r="Q916" s="1610"/>
      <c r="R916" s="1610"/>
      <c r="S916" s="1610"/>
      <c r="T916" s="1611"/>
      <c r="U916" s="1650"/>
      <c r="V916" s="1610"/>
      <c r="W916" s="1610"/>
      <c r="X916" s="1610"/>
      <c r="Y916" s="1610"/>
      <c r="Z916" s="1610"/>
      <c r="AA916" s="108"/>
      <c r="AB916" s="1492" t="s">
        <v>392</v>
      </c>
      <c r="AC916" s="1492"/>
      <c r="AD916" s="1492"/>
      <c r="AE916" s="149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3" t="s">
        <v>554</v>
      </c>
      <c r="V917" s="1400"/>
      <c r="W917" s="1400"/>
      <c r="X917" s="1400"/>
      <c r="Y917" s="1400"/>
      <c r="Z917" s="1401"/>
      <c r="AA917" s="1634">
        <f>AM554</f>
        <v>34410000</v>
      </c>
      <c r="AB917" s="1531"/>
      <c r="AC917" s="1531"/>
      <c r="AD917" s="1531"/>
      <c r="AE917" s="1531"/>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3" t="s">
        <v>554</v>
      </c>
      <c r="V918" s="1400"/>
      <c r="W918" s="1400"/>
      <c r="X918" s="1400"/>
      <c r="Y918" s="1400"/>
      <c r="Z918" s="1401"/>
      <c r="AA918" s="1634">
        <f>AM555</f>
        <v>6000000</v>
      </c>
      <c r="AB918" s="1531"/>
      <c r="AC918" s="1531"/>
      <c r="AD918" s="1531"/>
      <c r="AE918" s="1531"/>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3" t="s">
        <v>600</v>
      </c>
      <c r="V919" s="1400"/>
      <c r="W919" s="1400"/>
      <c r="X919" s="1400"/>
      <c r="Y919" s="1400"/>
      <c r="Z919" s="1401"/>
      <c r="AA919" s="1634"/>
      <c r="AB919" s="1531"/>
      <c r="AC919" s="1531"/>
      <c r="AD919" s="1531"/>
      <c r="AE919" s="1531"/>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3" t="s">
        <v>600</v>
      </c>
      <c r="V920" s="1400"/>
      <c r="W920" s="1400"/>
      <c r="X920" s="1400"/>
      <c r="Y920" s="1400"/>
      <c r="Z920" s="1401"/>
      <c r="AA920" s="1634"/>
      <c r="AB920" s="1531"/>
      <c r="AC920" s="1531"/>
      <c r="AD920" s="1531"/>
      <c r="AE920" s="1531"/>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3" t="s">
        <v>600</v>
      </c>
      <c r="V921" s="1400"/>
      <c r="W921" s="1400"/>
      <c r="X921" s="1400"/>
      <c r="Y921" s="1400"/>
      <c r="Z921" s="1401"/>
      <c r="AA921" s="1634"/>
      <c r="AB921" s="1531"/>
      <c r="AC921" s="1531"/>
      <c r="AD921" s="1531"/>
      <c r="AE921" s="1531"/>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3" t="s">
        <v>600</v>
      </c>
      <c r="V922" s="1400"/>
      <c r="W922" s="1400"/>
      <c r="X922" s="1400"/>
      <c r="Y922" s="1400"/>
      <c r="Z922" s="1401"/>
      <c r="AA922" s="1634"/>
      <c r="AB922" s="1531"/>
      <c r="AC922" s="1531"/>
      <c r="AD922" s="1531"/>
      <c r="AE922" s="1531"/>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3" t="s">
        <v>600</v>
      </c>
      <c r="V923" s="1400"/>
      <c r="W923" s="1400"/>
      <c r="X923" s="1400"/>
      <c r="Y923" s="1400"/>
      <c r="Z923" s="1401"/>
      <c r="AA923" s="1634"/>
      <c r="AB923" s="1531"/>
      <c r="AC923" s="1531"/>
      <c r="AD923" s="1531"/>
      <c r="AE923" s="1531"/>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3" t="s">
        <v>600</v>
      </c>
      <c r="V924" s="1400"/>
      <c r="W924" s="1400"/>
      <c r="X924" s="1400"/>
      <c r="Y924" s="1400"/>
      <c r="Z924" s="1401"/>
      <c r="AA924" s="1634"/>
      <c r="AB924" s="1531"/>
      <c r="AC924" s="1531"/>
      <c r="AD924" s="1531"/>
      <c r="AE924" s="1531"/>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1" t="s">
        <v>2554</v>
      </c>
      <c r="G925" s="1652"/>
      <c r="H925" s="1652"/>
      <c r="I925" s="1652"/>
      <c r="J925" s="1652"/>
      <c r="K925" s="1652"/>
      <c r="L925" s="1652"/>
      <c r="M925" s="1652"/>
      <c r="N925" s="1652"/>
      <c r="O925" s="1652"/>
      <c r="P925" s="1652"/>
      <c r="Q925" s="1652"/>
      <c r="R925" s="1652"/>
      <c r="S925" s="1652"/>
      <c r="T925" s="1653"/>
      <c r="U925" s="1633" t="s">
        <v>600</v>
      </c>
      <c r="V925" s="1400"/>
      <c r="W925" s="1400"/>
      <c r="X925" s="1400"/>
      <c r="Y925" s="1400"/>
      <c r="Z925" s="1401"/>
      <c r="AA925" s="1634"/>
      <c r="AB925" s="1531"/>
      <c r="AC925" s="1531"/>
      <c r="AD925" s="1531"/>
      <c r="AE925" s="1531"/>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1" t="s">
        <v>688</v>
      </c>
      <c r="G926" s="1652"/>
      <c r="H926" s="1652"/>
      <c r="I926" s="1652"/>
      <c r="J926" s="1652"/>
      <c r="K926" s="1652"/>
      <c r="L926" s="1652"/>
      <c r="M926" s="1652"/>
      <c r="N926" s="1652"/>
      <c r="O926" s="1652"/>
      <c r="P926" s="1652"/>
      <c r="Q926" s="1652"/>
      <c r="R926" s="1652"/>
      <c r="S926" s="1652"/>
      <c r="T926" s="1653"/>
      <c r="U926" s="1633" t="s">
        <v>600</v>
      </c>
      <c r="V926" s="1400"/>
      <c r="W926" s="1400"/>
      <c r="X926" s="1400"/>
      <c r="Y926" s="1400"/>
      <c r="Z926" s="1401"/>
      <c r="AA926" s="1634"/>
      <c r="AB926" s="1531"/>
      <c r="AC926" s="1531"/>
      <c r="AD926" s="1531"/>
      <c r="AE926" s="1531"/>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1" t="s">
        <v>2555</v>
      </c>
      <c r="G927" s="1652"/>
      <c r="H927" s="1652"/>
      <c r="I927" s="1652"/>
      <c r="J927" s="1652"/>
      <c r="K927" s="1652"/>
      <c r="L927" s="1652"/>
      <c r="M927" s="1652"/>
      <c r="N927" s="1652"/>
      <c r="O927" s="1652"/>
      <c r="P927" s="1652"/>
      <c r="Q927" s="1652"/>
      <c r="R927" s="1652"/>
      <c r="S927" s="1652"/>
      <c r="T927" s="1653"/>
      <c r="U927" s="1633" t="s">
        <v>600</v>
      </c>
      <c r="V927" s="1400"/>
      <c r="W927" s="1400"/>
      <c r="X927" s="1400"/>
      <c r="Y927" s="1400"/>
      <c r="Z927" s="1401"/>
      <c r="AA927" s="1634"/>
      <c r="AB927" s="1531"/>
      <c r="AC927" s="1531"/>
      <c r="AD927" s="1531"/>
      <c r="AE927" s="1531"/>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1" t="s">
        <v>2556</v>
      </c>
      <c r="G928" s="1652"/>
      <c r="H928" s="1652"/>
      <c r="I928" s="1652"/>
      <c r="J928" s="1652"/>
      <c r="K928" s="1652"/>
      <c r="L928" s="1652"/>
      <c r="M928" s="1652"/>
      <c r="N928" s="1652"/>
      <c r="O928" s="1652"/>
      <c r="P928" s="1652"/>
      <c r="Q928" s="1652"/>
      <c r="R928" s="1652"/>
      <c r="S928" s="1652"/>
      <c r="T928" s="1653"/>
      <c r="U928" s="1633" t="s">
        <v>600</v>
      </c>
      <c r="V928" s="1400"/>
      <c r="W928" s="1400"/>
      <c r="X928" s="1400"/>
      <c r="Y928" s="1400"/>
      <c r="Z928" s="1401"/>
      <c r="AA928" s="1634"/>
      <c r="AB928" s="1531"/>
      <c r="AC928" s="1531"/>
      <c r="AD928" s="1531"/>
      <c r="AE928" s="1531"/>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1" t="s">
        <v>2557</v>
      </c>
      <c r="G929" s="1652"/>
      <c r="H929" s="1652"/>
      <c r="I929" s="1652"/>
      <c r="J929" s="1652"/>
      <c r="K929" s="1652"/>
      <c r="L929" s="1652"/>
      <c r="M929" s="1652"/>
      <c r="N929" s="1652"/>
      <c r="O929" s="1652"/>
      <c r="P929" s="1652"/>
      <c r="Q929" s="1652"/>
      <c r="R929" s="1652"/>
      <c r="S929" s="1652"/>
      <c r="T929" s="1653"/>
      <c r="U929" s="1633" t="s">
        <v>600</v>
      </c>
      <c r="V929" s="1400"/>
      <c r="W929" s="1400"/>
      <c r="X929" s="1400"/>
      <c r="Y929" s="1400"/>
      <c r="Z929" s="1401"/>
      <c r="AA929" s="1634"/>
      <c r="AB929" s="1531"/>
      <c r="AC929" s="1531"/>
      <c r="AD929" s="1531"/>
      <c r="AE929" s="1531"/>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1" t="s">
        <v>2558</v>
      </c>
      <c r="G930" s="1652"/>
      <c r="H930" s="1652"/>
      <c r="I930" s="1652"/>
      <c r="J930" s="1652"/>
      <c r="K930" s="1652"/>
      <c r="L930" s="1652"/>
      <c r="M930" s="1652"/>
      <c r="N930" s="1652"/>
      <c r="O930" s="1652"/>
      <c r="P930" s="1652"/>
      <c r="Q930" s="1652"/>
      <c r="R930" s="1652"/>
      <c r="S930" s="1652"/>
      <c r="T930" s="1653"/>
      <c r="U930" s="1633" t="s">
        <v>600</v>
      </c>
      <c r="V930" s="1400"/>
      <c r="W930" s="1400"/>
      <c r="X930" s="1400"/>
      <c r="Y930" s="1400"/>
      <c r="Z930" s="1401"/>
      <c r="AA930" s="1634"/>
      <c r="AB930" s="1531"/>
      <c r="AC930" s="1531"/>
      <c r="AD930" s="1531"/>
      <c r="AE930" s="1531"/>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1" t="s">
        <v>2559</v>
      </c>
      <c r="G931" s="1652"/>
      <c r="H931" s="1652"/>
      <c r="I931" s="1652"/>
      <c r="J931" s="1652"/>
      <c r="K931" s="1652"/>
      <c r="L931" s="1652"/>
      <c r="M931" s="1652"/>
      <c r="N931" s="1652"/>
      <c r="O931" s="1652"/>
      <c r="P931" s="1652"/>
      <c r="Q931" s="1652"/>
      <c r="R931" s="1652"/>
      <c r="S931" s="1652"/>
      <c r="T931" s="1653"/>
      <c r="U931" s="1633" t="s">
        <v>600</v>
      </c>
      <c r="V931" s="1400"/>
      <c r="W931" s="1400"/>
      <c r="X931" s="1400"/>
      <c r="Y931" s="1400"/>
      <c r="Z931" s="1401"/>
      <c r="AA931" s="1634"/>
      <c r="AB931" s="1531"/>
      <c r="AC931" s="1531"/>
      <c r="AD931" s="1531"/>
      <c r="AE931" s="1531"/>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3" t="s">
        <v>600</v>
      </c>
      <c r="V932" s="1400"/>
      <c r="W932" s="1400"/>
      <c r="X932" s="1400"/>
      <c r="Y932" s="1400"/>
      <c r="Z932" s="1401"/>
      <c r="AA932" s="1634"/>
      <c r="AB932" s="1531"/>
      <c r="AC932" s="1531"/>
      <c r="AD932" s="1531"/>
      <c r="AE932" s="1531"/>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33" t="s">
        <v>554</v>
      </c>
      <c r="V933" s="1400"/>
      <c r="W933" s="1400"/>
      <c r="X933" s="1400"/>
      <c r="Y933" s="1400"/>
      <c r="Z933" s="1401"/>
      <c r="AA933" s="1634">
        <f>AO628</f>
        <v>1600000</v>
      </c>
      <c r="AB933" s="1531"/>
      <c r="AC933" s="1531"/>
      <c r="AD933" s="1531"/>
      <c r="AE933" s="1531"/>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3" t="s">
        <v>600</v>
      </c>
      <c r="V934" s="1400"/>
      <c r="W934" s="1400"/>
      <c r="X934" s="1400"/>
      <c r="Y934" s="1400"/>
      <c r="Z934" s="1401"/>
      <c r="AA934" s="1634"/>
      <c r="AB934" s="1531"/>
      <c r="AC934" s="1531"/>
      <c r="AD934" s="1531"/>
      <c r="AE934" s="1531"/>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2" t="s">
        <v>2563</v>
      </c>
      <c r="G935" s="1673"/>
      <c r="H935" s="1673"/>
      <c r="I935" s="1673"/>
      <c r="J935" s="1673"/>
      <c r="K935" s="1673"/>
      <c r="L935" s="1673"/>
      <c r="M935" s="1673"/>
      <c r="N935" s="1673"/>
      <c r="O935" s="1673"/>
      <c r="P935" s="1673"/>
      <c r="Q935" s="1673"/>
      <c r="R935" s="1673"/>
      <c r="S935" s="1673"/>
      <c r="T935" s="1674"/>
      <c r="U935" s="1633" t="s">
        <v>600</v>
      </c>
      <c r="V935" s="1400"/>
      <c r="W935" s="1400"/>
      <c r="X935" s="1400"/>
      <c r="Y935" s="1400"/>
      <c r="Z935" s="1401"/>
      <c r="AA935" s="1634"/>
      <c r="AB935" s="1531"/>
      <c r="AC935" s="1531"/>
      <c r="AD935" s="1531"/>
      <c r="AE935" s="1531"/>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2" t="s">
        <v>2564</v>
      </c>
      <c r="G936" s="1673"/>
      <c r="H936" s="1673"/>
      <c r="I936" s="1673"/>
      <c r="J936" s="1673"/>
      <c r="K936" s="1673"/>
      <c r="L936" s="1673"/>
      <c r="M936" s="1673"/>
      <c r="N936" s="1673"/>
      <c r="O936" s="1673"/>
      <c r="P936" s="1673"/>
      <c r="Q936" s="1673"/>
      <c r="R936" s="1673"/>
      <c r="S936" s="1673"/>
      <c r="T936" s="1674"/>
      <c r="U936" s="1633" t="s">
        <v>600</v>
      </c>
      <c r="V936" s="1400"/>
      <c r="W936" s="1400"/>
      <c r="X936" s="1400"/>
      <c r="Y936" s="1400"/>
      <c r="Z936" s="1401"/>
      <c r="AA936" s="1634"/>
      <c r="AB936" s="1531"/>
      <c r="AC936" s="1531"/>
      <c r="AD936" s="1531"/>
      <c r="AE936" s="1531"/>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1" t="s">
        <v>2560</v>
      </c>
      <c r="G937" s="1652"/>
      <c r="H937" s="1652"/>
      <c r="I937" s="1652"/>
      <c r="J937" s="1652"/>
      <c r="K937" s="1652"/>
      <c r="L937" s="1652"/>
      <c r="M937" s="1652"/>
      <c r="N937" s="1652"/>
      <c r="O937" s="1652"/>
      <c r="P937" s="1652"/>
      <c r="Q937" s="1652"/>
      <c r="R937" s="1652"/>
      <c r="S937" s="1652"/>
      <c r="T937" s="1653"/>
      <c r="U937" s="1633" t="s">
        <v>600</v>
      </c>
      <c r="V937" s="1400"/>
      <c r="W937" s="1400"/>
      <c r="X937" s="1400"/>
      <c r="Y937" s="1400"/>
      <c r="Z937" s="1401"/>
      <c r="AA937" s="1634"/>
      <c r="AB937" s="1531"/>
      <c r="AC937" s="1531"/>
      <c r="AD937" s="1531"/>
      <c r="AE937" s="1531"/>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1" t="s">
        <v>2561</v>
      </c>
      <c r="G938" s="1652"/>
      <c r="H938" s="1652"/>
      <c r="I938" s="1652"/>
      <c r="J938" s="1652"/>
      <c r="K938" s="1652"/>
      <c r="L938" s="1652"/>
      <c r="M938" s="1652"/>
      <c r="N938" s="1652"/>
      <c r="O938" s="1652"/>
      <c r="P938" s="1652"/>
      <c r="Q938" s="1652"/>
      <c r="R938" s="1652"/>
      <c r="S938" s="1652"/>
      <c r="T938" s="1653"/>
      <c r="U938" s="1633" t="s">
        <v>600</v>
      </c>
      <c r="V938" s="1400"/>
      <c r="W938" s="1400"/>
      <c r="X938" s="1400"/>
      <c r="Y938" s="1400"/>
      <c r="Z938" s="140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1" t="s">
        <v>2562</v>
      </c>
      <c r="G939" s="1652"/>
      <c r="H939" s="1652"/>
      <c r="I939" s="1652"/>
      <c r="J939" s="1652"/>
      <c r="K939" s="1652"/>
      <c r="L939" s="1652"/>
      <c r="M939" s="1652"/>
      <c r="N939" s="1652"/>
      <c r="O939" s="1652"/>
      <c r="P939" s="1652"/>
      <c r="Q939" s="1652"/>
      <c r="R939" s="1652"/>
      <c r="S939" s="1652"/>
      <c r="T939" s="1653"/>
      <c r="U939" s="1633" t="s">
        <v>600</v>
      </c>
      <c r="V939" s="1400"/>
      <c r="W939" s="1400"/>
      <c r="X939" s="1400"/>
      <c r="Y939" s="1400"/>
      <c r="Z939" s="140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33" t="s">
        <v>600</v>
      </c>
      <c r="V940" s="1400"/>
      <c r="W940" s="1400"/>
      <c r="X940" s="1400"/>
      <c r="Y940" s="1400"/>
      <c r="Z940" s="1401"/>
      <c r="AA940" s="1634"/>
      <c r="AB940" s="1531"/>
      <c r="AC940" s="1531"/>
      <c r="AD940" s="1531"/>
      <c r="AE940" s="1531"/>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2" t="s">
        <v>2565</v>
      </c>
      <c r="G941" s="1673"/>
      <c r="H941" s="1673"/>
      <c r="I941" s="1673"/>
      <c r="J941" s="1673"/>
      <c r="K941" s="1673"/>
      <c r="L941" s="1673"/>
      <c r="M941" s="1673"/>
      <c r="N941" s="1673"/>
      <c r="O941" s="1673"/>
      <c r="P941" s="1673"/>
      <c r="Q941" s="1673"/>
      <c r="R941" s="1673"/>
      <c r="S941" s="1673"/>
      <c r="T941" s="1674"/>
      <c r="U941" s="1633" t="s">
        <v>600</v>
      </c>
      <c r="V941" s="1400"/>
      <c r="W941" s="1400"/>
      <c r="X941" s="1400"/>
      <c r="Y941" s="1400"/>
      <c r="Z941" s="1401"/>
      <c r="AA941" s="1634"/>
      <c r="AB941" s="1531"/>
      <c r="AC941" s="1531"/>
      <c r="AD941" s="1531"/>
      <c r="AE941" s="1531"/>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33" t="s">
        <v>600</v>
      </c>
      <c r="V942" s="1400"/>
      <c r="W942" s="1400"/>
      <c r="X942" s="1400"/>
      <c r="Y942" s="1400"/>
      <c r="Z942" s="1401"/>
      <c r="AA942" s="1634"/>
      <c r="AB942" s="1531"/>
      <c r="AC942" s="1531"/>
      <c r="AD942" s="1531"/>
      <c r="AE942" s="1531"/>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2" t="s">
        <v>2566</v>
      </c>
      <c r="G943" s="1673"/>
      <c r="H943" s="1673"/>
      <c r="I943" s="1673"/>
      <c r="J943" s="1673"/>
      <c r="K943" s="1673"/>
      <c r="L943" s="1673"/>
      <c r="M943" s="1673"/>
      <c r="N943" s="1673"/>
      <c r="O943" s="1673"/>
      <c r="P943" s="1673"/>
      <c r="Q943" s="1673"/>
      <c r="R943" s="1673"/>
      <c r="S943" s="1673"/>
      <c r="T943" s="1674"/>
      <c r="U943" s="1633" t="s">
        <v>600</v>
      </c>
      <c r="V943" s="1400"/>
      <c r="W943" s="1400"/>
      <c r="X943" s="1400"/>
      <c r="Y943" s="1400"/>
      <c r="Z943" s="1401"/>
      <c r="AA943" s="1634"/>
      <c r="AB943" s="1531"/>
      <c r="AC943" s="1531"/>
      <c r="AD943" s="1531"/>
      <c r="AE943" s="1531"/>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3" t="s">
        <v>678</v>
      </c>
      <c r="Q944" s="1400"/>
      <c r="R944" s="1400"/>
      <c r="S944" s="1400"/>
      <c r="T944" s="1401"/>
      <c r="U944" s="1633" t="s">
        <v>600</v>
      </c>
      <c r="V944" s="1400"/>
      <c r="W944" s="1400"/>
      <c r="X944" s="1400"/>
      <c r="Y944" s="1400"/>
      <c r="Z944" s="1401"/>
      <c r="AA944" s="1634"/>
      <c r="AB944" s="1531"/>
      <c r="AC944" s="1531"/>
      <c r="AD944" s="1531"/>
      <c r="AE944" s="1531"/>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1" t="s">
        <v>2553</v>
      </c>
      <c r="G945" s="1652"/>
      <c r="H945" s="1653"/>
      <c r="I945" s="1614" t="s">
        <v>335</v>
      </c>
      <c r="J945" s="1615"/>
      <c r="K945" s="1615"/>
      <c r="L945" s="1615"/>
      <c r="M945" s="1615"/>
      <c r="N945" s="1615"/>
      <c r="O945" s="1615"/>
      <c r="P945" s="1615"/>
      <c r="Q945" s="1615"/>
      <c r="R945" s="1615"/>
      <c r="S945" s="1615"/>
      <c r="T945" s="1616"/>
      <c r="U945" s="1633" t="s">
        <v>600</v>
      </c>
      <c r="V945" s="1400"/>
      <c r="W945" s="1400"/>
      <c r="X945" s="1400"/>
      <c r="Y945" s="1400"/>
      <c r="Z945" s="1401"/>
      <c r="AA945" s="1634"/>
      <c r="AB945" s="1531"/>
      <c r="AC945" s="1531"/>
      <c r="AD945" s="1531"/>
      <c r="AE945" s="1531"/>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335</v>
      </c>
      <c r="J946" s="1615"/>
      <c r="K946" s="1615"/>
      <c r="L946" s="1615"/>
      <c r="M946" s="1615"/>
      <c r="N946" s="1615"/>
      <c r="O946" s="1615"/>
      <c r="P946" s="1615"/>
      <c r="Q946" s="1615"/>
      <c r="R946" s="1615"/>
      <c r="S946" s="1615"/>
      <c r="T946" s="1616"/>
      <c r="U946" s="1633" t="s">
        <v>600</v>
      </c>
      <c r="V946" s="1400"/>
      <c r="W946" s="1400"/>
      <c r="X946" s="1400"/>
      <c r="Y946" s="1400"/>
      <c r="Z946" s="1401"/>
      <c r="AA946" s="1634"/>
      <c r="AB946" s="1531"/>
      <c r="AC946" s="1531"/>
      <c r="AD946" s="1531"/>
      <c r="AE946" s="1531"/>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5" t="s">
        <v>335</v>
      </c>
      <c r="J947" s="1656"/>
      <c r="K947" s="1656"/>
      <c r="L947" s="1656"/>
      <c r="M947" s="1656"/>
      <c r="N947" s="1656"/>
      <c r="O947" s="1656"/>
      <c r="P947" s="1656"/>
      <c r="Q947" s="1656"/>
      <c r="R947" s="1656"/>
      <c r="S947" s="1656"/>
      <c r="T947" s="1657"/>
      <c r="U947" s="1633" t="s">
        <v>600</v>
      </c>
      <c r="V947" s="1400"/>
      <c r="W947" s="1400"/>
      <c r="X947" s="1400"/>
      <c r="Y947" s="1400"/>
      <c r="Z947" s="1401"/>
      <c r="AA947" s="1634"/>
      <c r="AB947" s="1531"/>
      <c r="AC947" s="1531"/>
      <c r="AD947" s="1531"/>
      <c r="AE947" s="1531"/>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5" t="s">
        <v>335</v>
      </c>
      <c r="J948" s="1656"/>
      <c r="K948" s="1656"/>
      <c r="L948" s="1656"/>
      <c r="M948" s="1656"/>
      <c r="N948" s="1656"/>
      <c r="O948" s="1656"/>
      <c r="P948" s="1656"/>
      <c r="Q948" s="1656"/>
      <c r="R948" s="1656"/>
      <c r="S948" s="1656"/>
      <c r="T948" s="1657"/>
      <c r="U948" s="1633" t="s">
        <v>600</v>
      </c>
      <c r="V948" s="1400"/>
      <c r="W948" s="1400"/>
      <c r="X948" s="1400"/>
      <c r="Y948" s="1400"/>
      <c r="Z948" s="1401"/>
      <c r="AA948" s="1634"/>
      <c r="AB948" s="1531"/>
      <c r="AC948" s="1531"/>
      <c r="AD948" s="1531"/>
      <c r="AE948" s="1531"/>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5" t="s">
        <v>335</v>
      </c>
      <c r="J949" s="1656"/>
      <c r="K949" s="1656"/>
      <c r="L949" s="1656"/>
      <c r="M949" s="1656"/>
      <c r="N949" s="1656"/>
      <c r="O949" s="1656"/>
      <c r="P949" s="1656"/>
      <c r="Q949" s="1656"/>
      <c r="R949" s="1656"/>
      <c r="S949" s="1656"/>
      <c r="T949" s="1657"/>
      <c r="U949" s="1633" t="s">
        <v>600</v>
      </c>
      <c r="V949" s="1400"/>
      <c r="W949" s="1400"/>
      <c r="X949" s="1400"/>
      <c r="Y949" s="1400"/>
      <c r="Z949" s="1401"/>
      <c r="AA949" s="1634"/>
      <c r="AB949" s="1531"/>
      <c r="AC949" s="1531"/>
      <c r="AD949" s="1531"/>
      <c r="AE949" s="1531"/>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8"/>
      <c r="N954" s="1619"/>
      <c r="O954" s="1619"/>
      <c r="P954" s="1619"/>
      <c r="Q954" s="1619"/>
      <c r="R954" s="1619"/>
      <c r="S954" s="1620"/>
      <c r="U954" s="66" t="s">
        <v>11</v>
      </c>
      <c r="V954" s="5"/>
      <c r="W954" s="5"/>
      <c r="X954" s="5"/>
      <c r="Y954" s="5"/>
      <c r="Z954" s="5"/>
      <c r="AA954" s="5"/>
      <c r="AB954" s="5"/>
      <c r="AC954" s="5"/>
      <c r="AD954" s="46"/>
      <c r="AE954" s="1658"/>
      <c r="AF954" s="1619"/>
      <c r="AG954" s="1619"/>
      <c r="AH954" s="1619"/>
      <c r="AI954" s="1619"/>
      <c r="AJ954" s="1619"/>
      <c r="AK954" s="16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99"/>
      <c r="N955" s="1524"/>
      <c r="O955" s="1524"/>
      <c r="P955" s="1524"/>
      <c r="Q955" s="1524"/>
      <c r="R955" s="1524"/>
      <c r="S955" s="1700"/>
      <c r="U955" s="66" t="s">
        <v>12</v>
      </c>
      <c r="V955" s="5"/>
      <c r="W955" s="5"/>
      <c r="X955" s="5"/>
      <c r="Y955" s="5"/>
      <c r="Z955" s="5"/>
      <c r="AA955" s="5"/>
      <c r="AB955" s="5"/>
      <c r="AC955" s="5"/>
      <c r="AD955" s="46"/>
      <c r="AE955" s="1699"/>
      <c r="AF955" s="1524"/>
      <c r="AG955" s="1524"/>
      <c r="AH955" s="1524"/>
      <c r="AI955" s="1524"/>
      <c r="AJ955" s="1524"/>
      <c r="AK955" s="170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1" t="s">
        <v>308</v>
      </c>
      <c r="K956" s="1702"/>
      <c r="L956" s="1702"/>
      <c r="M956" s="1702"/>
      <c r="N956" s="1702"/>
      <c r="O956" s="1702"/>
      <c r="P956" s="1702"/>
      <c r="Q956" s="1702"/>
      <c r="R956" s="1702"/>
      <c r="S956" s="1703"/>
      <c r="U956" s="66" t="s">
        <v>893</v>
      </c>
      <c r="V956" s="5"/>
      <c r="W956" s="5"/>
      <c r="AB956" s="1701" t="s">
        <v>308</v>
      </c>
      <c r="AC956" s="1702"/>
      <c r="AD956" s="1702"/>
      <c r="AE956" s="1702"/>
      <c r="AF956" s="1702"/>
      <c r="AG956" s="1702"/>
      <c r="AH956" s="1702"/>
      <c r="AI956" s="1702"/>
      <c r="AJ956" s="1702"/>
      <c r="AK956" s="170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5"/>
      <c r="N957" s="1696"/>
      <c r="O957" s="1696"/>
      <c r="P957" s="1696"/>
      <c r="Q957" s="1696"/>
      <c r="R957" s="1696"/>
      <c r="S957" s="1697"/>
      <c r="U957" s="66" t="s">
        <v>13</v>
      </c>
      <c r="V957" s="5"/>
      <c r="W957" s="5"/>
      <c r="X957" s="5"/>
      <c r="Y957" s="5"/>
      <c r="Z957" s="5"/>
      <c r="AA957" s="5"/>
      <c r="AB957" s="5"/>
      <c r="AC957" s="5"/>
      <c r="AD957" s="46"/>
      <c r="AE957" s="1698"/>
      <c r="AF957" s="1696"/>
      <c r="AG957" s="1696"/>
      <c r="AH957" s="1696"/>
      <c r="AI957" s="1696"/>
      <c r="AJ957" s="1696"/>
      <c r="AK957" s="169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4"/>
      <c r="N958" s="1595"/>
      <c r="O958" s="1595"/>
      <c r="P958" s="1595"/>
      <c r="Q958" s="1595"/>
      <c r="R958" s="1595"/>
      <c r="S958" s="1596"/>
      <c r="U958" s="66" t="s">
        <v>14</v>
      </c>
      <c r="V958" s="5"/>
      <c r="W958" s="5"/>
      <c r="X958" s="5"/>
      <c r="Y958" s="5"/>
      <c r="Z958" s="5"/>
      <c r="AA958" s="5"/>
      <c r="AB958" s="5"/>
      <c r="AC958" s="5"/>
      <c r="AD958" s="46"/>
      <c r="AE958" s="1744"/>
      <c r="AF958" s="1595"/>
      <c r="AG958" s="1595"/>
      <c r="AH958" s="1595"/>
      <c r="AI958" s="1595"/>
      <c r="AJ958" s="1595"/>
      <c r="AK958" s="159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531"/>
      <c r="O959" s="1531"/>
      <c r="P959" s="1531"/>
      <c r="Q959" s="1531"/>
      <c r="R959" s="1531"/>
      <c r="S959" s="1635"/>
      <c r="U959" s="66" t="s">
        <v>15</v>
      </c>
      <c r="V959" s="5"/>
      <c r="W959" s="5"/>
      <c r="X959" s="5"/>
      <c r="Y959" s="5"/>
      <c r="Z959" s="5"/>
      <c r="AA959" s="5"/>
      <c r="AB959" s="5"/>
      <c r="AC959" s="5"/>
      <c r="AD959" s="46"/>
      <c r="AE959" s="1634"/>
      <c r="AF959" s="1531"/>
      <c r="AG959" s="1531"/>
      <c r="AH959" s="1531"/>
      <c r="AI959" s="1531"/>
      <c r="AJ959" s="1531"/>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531"/>
      <c r="O960" s="1531"/>
      <c r="P960" s="1531"/>
      <c r="Q960" s="1531"/>
      <c r="R960" s="1531"/>
      <c r="S960" s="1635"/>
      <c r="U960" s="66" t="s">
        <v>16</v>
      </c>
      <c r="V960" s="5"/>
      <c r="W960" s="5"/>
      <c r="X960" s="5"/>
      <c r="Y960" s="5"/>
      <c r="Z960" s="5"/>
      <c r="AA960" s="5"/>
      <c r="AB960" s="5"/>
      <c r="AC960" s="5"/>
      <c r="AD960" s="46"/>
      <c r="AE960" s="1634"/>
      <c r="AF960" s="1531"/>
      <c r="AG960" s="1531"/>
      <c r="AH960" s="1531"/>
      <c r="AI960" s="1531"/>
      <c r="AJ960" s="1531"/>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75"/>
      <c r="N961" s="1676"/>
      <c r="O961" s="1676"/>
      <c r="P961" s="1676"/>
      <c r="Q961" s="1676"/>
      <c r="R961" s="1676"/>
      <c r="S961" s="1677"/>
      <c r="U961" s="121" t="s">
        <v>1776</v>
      </c>
      <c r="V961" s="5"/>
      <c r="W961" s="5"/>
      <c r="X961" s="5"/>
      <c r="Y961" s="5"/>
      <c r="Z961" s="5"/>
      <c r="AA961" s="5"/>
      <c r="AB961" s="5"/>
      <c r="AC961" s="5"/>
      <c r="AD961" s="46"/>
      <c r="AE961" s="1675"/>
      <c r="AF961" s="1676"/>
      <c r="AG961" s="1676"/>
      <c r="AH961" s="1676"/>
      <c r="AI961" s="1676"/>
      <c r="AJ961" s="1676"/>
      <c r="AK961" s="167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9"/>
      <c r="N966" s="1660"/>
      <c r="O966" s="1660"/>
      <c r="P966" s="1660"/>
      <c r="Q966" s="1660"/>
      <c r="R966" s="1660"/>
      <c r="S966" s="1661"/>
      <c r="T966" s="66" t="s">
        <v>800</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9"/>
      <c r="N967" s="1660"/>
      <c r="O967" s="1660"/>
      <c r="P967" s="1660"/>
      <c r="Q967" s="1660"/>
      <c r="R967" s="1660"/>
      <c r="S967" s="1661"/>
      <c r="T967" s="66" t="s">
        <v>799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3" t="s">
        <v>600</v>
      </c>
      <c r="N968" s="1754"/>
      <c r="O968" s="1754"/>
      <c r="P968" s="1754"/>
      <c r="Q968" s="1754"/>
      <c r="R968" s="1754"/>
      <c r="S968" s="1755"/>
      <c r="T968" s="45" t="s">
        <v>338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9"/>
      <c r="N969" s="1660"/>
      <c r="O969" s="1660"/>
      <c r="P969" s="1660"/>
      <c r="Q969" s="1660"/>
      <c r="R969" s="1660"/>
      <c r="S969" s="1661"/>
      <c r="T969" s="45" t="s">
        <v>339</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9"/>
      <c r="N970" s="1660"/>
      <c r="O970" s="1660"/>
      <c r="P970" s="1660"/>
      <c r="Q970" s="1660"/>
      <c r="R970" s="1660"/>
      <c r="S970" s="1661"/>
      <c r="T970" s="45" t="s">
        <v>377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48" t="s">
        <v>308</v>
      </c>
      <c r="N971" s="1749"/>
      <c r="O971" s="1749"/>
      <c r="P971" s="1749"/>
      <c r="Q971" s="1749"/>
      <c r="R971" s="1749"/>
      <c r="S971" s="1750"/>
      <c r="T971" s="1692"/>
      <c r="U971" s="1693"/>
      <c r="V971" s="1693"/>
      <c r="W971" s="1693"/>
      <c r="X971" s="1693"/>
      <c r="Y971" s="1693"/>
      <c r="Z971" s="1694"/>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9"/>
      <c r="N972" s="1660"/>
      <c r="O972" s="1660"/>
      <c r="P972" s="1660"/>
      <c r="Q972" s="1660"/>
      <c r="R972" s="1660"/>
      <c r="S972" s="1661"/>
      <c r="T972" s="1692"/>
      <c r="U972" s="1693"/>
      <c r="V972" s="1693"/>
      <c r="W972" s="1693"/>
      <c r="X972" s="1693"/>
      <c r="Y972" s="1693"/>
      <c r="Z972" s="169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71" t="s">
        <v>678</v>
      </c>
      <c r="P973" s="1455"/>
      <c r="Q973" s="92"/>
      <c r="R973" s="92"/>
      <c r="S973" s="93"/>
      <c r="T973" s="41" t="s">
        <v>170</v>
      </c>
      <c r="U973" s="42"/>
      <c r="V973" s="42"/>
      <c r="W973" s="1745" t="s">
        <v>335</v>
      </c>
      <c r="X973" s="1746"/>
      <c r="Y973" s="1746"/>
      <c r="Z973" s="1746"/>
      <c r="AA973" s="1746"/>
      <c r="AB973" s="1746"/>
      <c r="AC973" s="1746"/>
      <c r="AD973" s="1746"/>
      <c r="AE973" s="1746"/>
      <c r="AF973" s="1746"/>
      <c r="AG973" s="174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3" t="s">
        <v>33</v>
      </c>
      <c r="G974" s="1507"/>
      <c r="H974" s="1507"/>
      <c r="I974" s="1507"/>
      <c r="J974" s="1507"/>
      <c r="K974" s="1507"/>
      <c r="L974" s="1507"/>
      <c r="M974" s="1659"/>
      <c r="N974" s="1660"/>
      <c r="O974" s="1660"/>
      <c r="P974" s="1660"/>
      <c r="Q974" s="1660"/>
      <c r="R974" s="1660"/>
      <c r="S974" s="1661"/>
      <c r="T974" s="47"/>
      <c r="U974" s="48"/>
      <c r="V974" s="48"/>
      <c r="W974" s="48"/>
      <c r="X974" s="48"/>
      <c r="Y974" s="48"/>
      <c r="Z974" s="124" t="s">
        <v>134</v>
      </c>
      <c r="AA974" s="1686"/>
      <c r="AB974" s="1687"/>
      <c r="AC974" s="1687"/>
      <c r="AD974" s="1687"/>
      <c r="AE974" s="1687"/>
      <c r="AF974" s="1687"/>
      <c r="AG974" s="168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7"/>
      <c r="BH975" s="1637"/>
      <c r="BI975" s="1637"/>
      <c r="BJ975" s="1637"/>
      <c r="BK975" s="1637"/>
      <c r="BL975" s="163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4" t="s">
        <v>557</v>
      </c>
      <c r="B978" s="1654"/>
      <c r="C978" s="1654"/>
      <c r="D978" s="1654"/>
      <c r="E978" s="1654"/>
      <c r="F978" s="1654"/>
      <c r="G978" s="1654"/>
      <c r="H978" s="1654"/>
      <c r="I978" s="1654"/>
      <c r="J978" s="1654"/>
      <c r="K978" s="1654"/>
      <c r="L978" s="1654"/>
      <c r="M978" s="1654"/>
      <c r="N978" s="1654"/>
      <c r="O978" s="1654"/>
      <c r="P978" s="1654"/>
      <c r="Q978" s="1654"/>
      <c r="R978" s="1654"/>
      <c r="S978" s="1654"/>
      <c r="T978" s="1654"/>
      <c r="U978" s="1654"/>
      <c r="V978" s="1654"/>
      <c r="W978" s="1654"/>
      <c r="X978" s="1654"/>
      <c r="Y978" s="1654"/>
      <c r="Z978" s="1654"/>
      <c r="AA978" s="1654"/>
      <c r="AB978" s="1654"/>
      <c r="AC978" s="1654"/>
      <c r="AD978" s="1654"/>
      <c r="AE978" s="1654"/>
      <c r="AF978" s="1654"/>
      <c r="AG978" s="1654"/>
      <c r="AH978" s="1654"/>
      <c r="AI978" s="1654"/>
      <c r="AJ978" s="1654"/>
      <c r="AK978" s="1654"/>
      <c r="AL978" s="1654"/>
      <c r="AM978" s="1654"/>
      <c r="AN978" s="1654"/>
      <c r="AO978" s="1654"/>
      <c r="AP978" s="1654"/>
      <c r="AQ978" s="1654"/>
      <c r="AR978" s="1654"/>
      <c r="AS978" s="1654"/>
      <c r="AT978" s="16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4"/>
      <c r="B979" s="1654"/>
      <c r="C979" s="1654"/>
      <c r="D979" s="1654"/>
      <c r="E979" s="1654"/>
      <c r="F979" s="1654"/>
      <c r="G979" s="1654"/>
      <c r="H979" s="1654"/>
      <c r="I979" s="1654"/>
      <c r="J979" s="1654"/>
      <c r="K979" s="1654"/>
      <c r="L979" s="1654"/>
      <c r="M979" s="1654"/>
      <c r="N979" s="1654"/>
      <c r="O979" s="1654"/>
      <c r="P979" s="1654"/>
      <c r="Q979" s="1654"/>
      <c r="R979" s="1654"/>
      <c r="S979" s="1654"/>
      <c r="T979" s="1654"/>
      <c r="U979" s="1654"/>
      <c r="V979" s="1654"/>
      <c r="W979" s="1654"/>
      <c r="X979" s="1654"/>
      <c r="Y979" s="1654"/>
      <c r="Z979" s="1654"/>
      <c r="AA979" s="1654"/>
      <c r="AB979" s="1654"/>
      <c r="AC979" s="1654"/>
      <c r="AD979" s="1654"/>
      <c r="AE979" s="1654"/>
      <c r="AF979" s="1654"/>
      <c r="AG979" s="1654"/>
      <c r="AH979" s="1654"/>
      <c r="AI979" s="1654"/>
      <c r="AJ979" s="1654"/>
      <c r="AK979" s="1654"/>
      <c r="AL979" s="1654"/>
      <c r="AM979" s="1654"/>
      <c r="AN979" s="1654"/>
      <c r="AO979" s="1654"/>
      <c r="AP979" s="1654"/>
      <c r="AQ979" s="1654"/>
      <c r="AR979" s="1654"/>
      <c r="AS979" s="1654"/>
      <c r="AT979" s="16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4"/>
      <c r="B980" s="1654"/>
      <c r="C980" s="1654"/>
      <c r="D980" s="1654"/>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4"/>
      <c r="AF980" s="1654"/>
      <c r="AG980" s="1654"/>
      <c r="AH980" s="1654"/>
      <c r="AI980" s="1654"/>
      <c r="AJ980" s="1654"/>
      <c r="AK980" s="1654"/>
      <c r="AL980" s="1654"/>
      <c r="AM980" s="1654"/>
      <c r="AN980" s="1654"/>
      <c r="AO980" s="1654"/>
      <c r="AP980" s="1654"/>
      <c r="AQ980" s="1654"/>
      <c r="AR980" s="1654"/>
      <c r="AS980" s="1654"/>
      <c r="AT980" s="16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642</v>
      </c>
      <c r="E985" s="1521"/>
      <c r="F985" s="1521"/>
      <c r="G985" s="1521"/>
      <c r="H985" s="1521"/>
      <c r="I985" s="1521"/>
      <c r="J985" s="1521"/>
      <c r="K985" s="1521"/>
      <c r="L985" s="1521"/>
      <c r="M985" s="1521"/>
      <c r="N985" s="1521"/>
      <c r="O985" s="1521"/>
      <c r="P985" s="1521"/>
      <c r="Q985" s="1522"/>
      <c r="R985" s="1743">
        <f>IF(ISNA(IF($BN$796="4%",(INDEX($BP$806:$BT$863,MATCH($CB$796,$BO$806:$BO$863,0),MATCH(D985,$BP$805:$BT$805,0))),(INDEX($BW$806:$CA$863,MATCH($CB$796,$BV$806:$BV$863,0),MATCH(D985,$BW$805:$CA$805,0))))),0,IF($BN$796="4%",(INDEX($BP$806:$BT$863,MATCH($CB$796,$BO$806:$BO$863,0),MATCH(D985,$BP$805:$BT$805,0))),(INDEX($BW$806:$CA$863,MATCH($CB$796,$BV$806:$BV$863,0),MATCH(D985,$BW$805:$CA$805,0)))))</f>
        <v>437727</v>
      </c>
      <c r="S985" s="1743"/>
      <c r="T985" s="1743"/>
      <c r="U985" s="1743"/>
      <c r="V985" s="1743"/>
      <c r="W985" s="1743"/>
      <c r="X985" s="1743"/>
      <c r="Y985" s="1743"/>
      <c r="Z985" s="1743"/>
      <c r="AA985" s="1743"/>
      <c r="AB985" s="1811">
        <f>BN660</f>
        <v>0</v>
      </c>
      <c r="AC985" s="1812"/>
      <c r="AD985" s="1812"/>
      <c r="AE985" s="1812"/>
      <c r="AF985" s="1812"/>
      <c r="AG985" s="1812"/>
      <c r="AH985" s="1812"/>
      <c r="AI985" s="1813"/>
      <c r="AJ985" s="1664">
        <f>IF(ISERROR((R985*AB985)),0,(R985*AB985))</f>
        <v>0</v>
      </c>
      <c r="AK985" s="1665"/>
      <c r="AL985" s="1665"/>
      <c r="AM985" s="1665"/>
      <c r="AN985" s="1665"/>
      <c r="AO985" s="1665"/>
      <c r="AP985" s="1665"/>
      <c r="AQ985" s="166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43">
        <f>IF(ISNA(IF($BN$796="4%",(INDEX($BP$806:$BT$863,MATCH($CB$796,$BO$806:$BO$863,0),MATCH(D986,$BP$805:$BT$805,0))),(INDEX($BW$806:$CA$863,MATCH($CB$796,$BV$806:$BV$863,0),MATCH(D986,$BW$805:$CA$805,0))))),0,IF($BN$796="4%",(INDEX($BP$806:$BT$863,MATCH($CB$796,$BO$806:$BO$863,0),MATCH(D986,$BP$805:$BT$805,0))),(INDEX($BW$806:$CA$863,MATCH($CB$796,$BV$806:$BV$863,0),MATCH(D986,$BW$805:$CA$805,0)))))</f>
        <v>504695</v>
      </c>
      <c r="S986" s="1743"/>
      <c r="T986" s="1743"/>
      <c r="U986" s="1743"/>
      <c r="V986" s="1743"/>
      <c r="W986" s="1743"/>
      <c r="X986" s="1743"/>
      <c r="Y986" s="1743"/>
      <c r="Z986" s="1743"/>
      <c r="AA986" s="1743"/>
      <c r="AB986" s="1811">
        <f>BS660</f>
        <v>64</v>
      </c>
      <c r="AC986" s="1812"/>
      <c r="AD986" s="1812"/>
      <c r="AE986" s="1812"/>
      <c r="AF986" s="1812"/>
      <c r="AG986" s="1812"/>
      <c r="AH986" s="1812"/>
      <c r="AI986" s="1813"/>
      <c r="AJ986" s="1664">
        <f>IF(ISERROR((R986*AB986)),0,(R986*AB986))</f>
        <v>32300480</v>
      </c>
      <c r="AK986" s="1665"/>
      <c r="AL986" s="1665"/>
      <c r="AM986" s="1665"/>
      <c r="AN986" s="1665"/>
      <c r="AO986" s="1665"/>
      <c r="AP986" s="1665"/>
      <c r="AQ986" s="166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43">
        <f>IF(ISNA(IF($BN$796="4%",(INDEX($BP$806:$BT$863,MATCH($CB$796,$BO$806:$BO$863,0),MATCH(D987,$BP$805:$BT$805,0))),(INDEX($BW$806:$CA$863,MATCH($CB$796,$BV$806:$BV$863,0),MATCH(D987,$BW$805:$CA$805,0))))),0,IF($BN$796="4%",(INDEX($BP$806:$BT$863,MATCH($CB$796,$BO$806:$BO$863,0),MATCH(D987,$BP$805:$BT$805,0))),(INDEX($BW$806:$CA$863,MATCH($CB$796,$BV$806:$BV$863,0),MATCH(D987,$BW$805:$CA$805,0)))))</f>
        <v>608800</v>
      </c>
      <c r="S987" s="1743"/>
      <c r="T987" s="1743"/>
      <c r="U987" s="1743"/>
      <c r="V987" s="1743"/>
      <c r="W987" s="1743"/>
      <c r="X987" s="1743"/>
      <c r="Y987" s="1743"/>
      <c r="Z987" s="1743"/>
      <c r="AA987" s="1743"/>
      <c r="AB987" s="1811">
        <f>BX660</f>
        <v>48</v>
      </c>
      <c r="AC987" s="1812"/>
      <c r="AD987" s="1812"/>
      <c r="AE987" s="1812"/>
      <c r="AF987" s="1812"/>
      <c r="AG987" s="1812"/>
      <c r="AH987" s="1812"/>
      <c r="AI987" s="1813"/>
      <c r="AJ987" s="1664">
        <f>IF(ISERROR((R987*AB987)),0,(R987*AB987))</f>
        <v>29222400</v>
      </c>
      <c r="AK987" s="1665"/>
      <c r="AL987" s="1665"/>
      <c r="AM987" s="1665"/>
      <c r="AN987" s="1665"/>
      <c r="AO987" s="1665"/>
      <c r="AP987" s="1665"/>
      <c r="AQ987" s="166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43">
        <f>IF(ISNA(IF($BN$796="4%",(INDEX($BP$806:$BT$863,MATCH($CB$796,$BO$806:$BO$863,0),MATCH(D988,$BP$805:$BT$805,0))),(INDEX($BW$806:$CA$863,MATCH($CB$796,$BV$806:$BV$863,0),MATCH(D988,$BW$805:$CA$805,0))))),0,IF($BN$796="4%",(INDEX($BP$806:$BT$863,MATCH($CB$796,$BO$806:$BO$863,0),MATCH(D988,$BP$805:$BT$805,0))),(INDEX($BW$806:$CA$863,MATCH($CB$796,$BV$806:$BV$863,0),MATCH(D988,$BW$805:$CA$805,0)))))</f>
        <v>779264</v>
      </c>
      <c r="S988" s="1743"/>
      <c r="T988" s="1743"/>
      <c r="U988" s="1743"/>
      <c r="V988" s="1743"/>
      <c r="W988" s="1743"/>
      <c r="X988" s="1743"/>
      <c r="Y988" s="1743"/>
      <c r="Z988" s="1743"/>
      <c r="AA988" s="1743"/>
      <c r="AB988" s="1811">
        <f>CC660</f>
        <v>57</v>
      </c>
      <c r="AC988" s="1812"/>
      <c r="AD988" s="1812"/>
      <c r="AE988" s="1812"/>
      <c r="AF988" s="1812"/>
      <c r="AG988" s="1812"/>
      <c r="AH988" s="1812"/>
      <c r="AI988" s="1813"/>
      <c r="AJ988" s="1664">
        <f>IF(ISERROR((R988*AB988)),0,(R988*AB988))</f>
        <v>44418048</v>
      </c>
      <c r="AK988" s="1665"/>
      <c r="AL988" s="1665"/>
      <c r="AM988" s="1665"/>
      <c r="AN988" s="1665"/>
      <c r="AO988" s="1665"/>
      <c r="AP988" s="1665"/>
      <c r="AQ988" s="166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469</v>
      </c>
      <c r="E989" s="1521"/>
      <c r="F989" s="1521"/>
      <c r="G989" s="1521"/>
      <c r="H989" s="1521"/>
      <c r="I989" s="1521"/>
      <c r="J989" s="1521"/>
      <c r="K989" s="1521"/>
      <c r="L989" s="1521"/>
      <c r="M989" s="1521"/>
      <c r="N989" s="1521"/>
      <c r="O989" s="1521"/>
      <c r="P989" s="1521"/>
      <c r="Q989" s="1522"/>
      <c r="R989" s="1743">
        <f>IF(ISNA(IF($BN$796="4%",(INDEX($BP$806:$BT$863,MATCH($CB$796,$BO$806:$BO$863,0),MATCH(D989,$BP$805:$BT$805,0))),(INDEX($BW$806:$CA$863,MATCH($CB$796,$BV$806:$BV$863,0),MATCH(D989,$BW$805:$CA$805,0))))),0,IF($BN$796="4%",(INDEX($BP$806:$BT$863,MATCH($CB$796,$BO$806:$BO$863,0),MATCH(D989,$BP$805:$BT$805,0))),(INDEX($BW$806:$CA$863,MATCH($CB$796,$BV$806:$BV$863,0),MATCH(D989,$BW$805:$CA$805,0)))))</f>
        <v>868149</v>
      </c>
      <c r="S989" s="1743"/>
      <c r="T989" s="1743"/>
      <c r="U989" s="1743"/>
      <c r="V989" s="1743"/>
      <c r="W989" s="1743"/>
      <c r="X989" s="1743"/>
      <c r="Y989" s="1743"/>
      <c r="Z989" s="1743"/>
      <c r="AA989" s="1743"/>
      <c r="AB989" s="1811">
        <f>CM660+CH660</f>
        <v>22</v>
      </c>
      <c r="AC989" s="1812"/>
      <c r="AD989" s="1812"/>
      <c r="AE989" s="1812"/>
      <c r="AF989" s="1812"/>
      <c r="AG989" s="1812"/>
      <c r="AH989" s="1812"/>
      <c r="AI989" s="1813"/>
      <c r="AJ989" s="1664">
        <f>IF(ISERROR((R989*AB989)),0,(R989*AB989))</f>
        <v>19099278</v>
      </c>
      <c r="AK989" s="1665"/>
      <c r="AL989" s="1665"/>
      <c r="AM989" s="1665"/>
      <c r="AN989" s="1665"/>
      <c r="AO989" s="1665"/>
      <c r="AP989" s="1665"/>
      <c r="AQ989" s="166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1" t="s">
        <v>801</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811">
        <f>SUM(AB985:AI989)</f>
        <v>191</v>
      </c>
      <c r="AC990" s="1812"/>
      <c r="AD990" s="1812"/>
      <c r="AE990" s="1812"/>
      <c r="AF990" s="1812"/>
      <c r="AG990" s="1812"/>
      <c r="AH990" s="1812"/>
      <c r="AI990" s="1813"/>
      <c r="AJ990" s="1664"/>
      <c r="AK990" s="1665"/>
      <c r="AL990" s="1665"/>
      <c r="AM990" s="1665"/>
      <c r="AN990" s="1665"/>
      <c r="AO990" s="1665"/>
      <c r="AP990" s="1665"/>
      <c r="AQ990" s="166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7" t="s">
        <v>521</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664">
        <f>SUM(AJ985:AQ989)</f>
        <v>125040206</v>
      </c>
      <c r="AK991" s="1665"/>
      <c r="AL991" s="1665"/>
      <c r="AM991" s="1665"/>
      <c r="AN991" s="1665"/>
      <c r="AO991" s="1665"/>
      <c r="AP991" s="1665"/>
      <c r="AQ991" s="166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3"/>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5"/>
      <c r="AF992" s="1837" t="s">
        <v>675</v>
      </c>
      <c r="AG992" s="1838"/>
      <c r="AH992" s="1838"/>
      <c r="AI992" s="1839"/>
      <c r="AJ992" s="1823"/>
      <c r="AK992" s="1824"/>
      <c r="AL992" s="1824"/>
      <c r="AM992" s="1824"/>
      <c r="AN992" s="1824"/>
      <c r="AO992" s="1824"/>
      <c r="AP992" s="1824"/>
      <c r="AQ992" s="182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75" t="s">
        <v>1327</v>
      </c>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79"/>
      <c r="AG993" s="1840" t="s">
        <v>678</v>
      </c>
      <c r="AH993" s="1841"/>
      <c r="AI993" s="87"/>
      <c r="AJ993" s="1796">
        <f>ROUND(IF(AND(AG993="yes",D999&gt;0),AJ991*0.2,0),0)</f>
        <v>0</v>
      </c>
      <c r="AK993" s="1797"/>
      <c r="AL993" s="1797"/>
      <c r="AM993" s="1797"/>
      <c r="AN993" s="1797"/>
      <c r="AO993" s="1797"/>
      <c r="AP993" s="1797"/>
      <c r="AQ993" s="17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7" t="s">
        <v>2567</v>
      </c>
      <c r="E994" s="1818"/>
      <c r="F994" s="1818"/>
      <c r="G994" s="1818"/>
      <c r="H994" s="1818"/>
      <c r="I994" s="1818"/>
      <c r="J994" s="1818"/>
      <c r="K994" s="1818"/>
      <c r="L994" s="1818"/>
      <c r="M994" s="1818"/>
      <c r="N994" s="1818"/>
      <c r="O994" s="1818"/>
      <c r="P994" s="1818"/>
      <c r="Q994" s="1818"/>
      <c r="R994" s="1818"/>
      <c r="S994" s="1818"/>
      <c r="T994" s="1818"/>
      <c r="U994" s="1818"/>
      <c r="V994" s="1818"/>
      <c r="W994" s="1818"/>
      <c r="X994" s="1818"/>
      <c r="Y994" s="1818"/>
      <c r="Z994" s="1818"/>
      <c r="AA994" s="1818"/>
      <c r="AB994" s="1818"/>
      <c r="AC994" s="1818"/>
      <c r="AD994" s="1818"/>
      <c r="AE994" s="1819"/>
      <c r="AF994" s="73"/>
      <c r="AG994" s="14"/>
      <c r="AH994" s="14"/>
      <c r="AI994" s="83"/>
      <c r="AJ994" s="1799"/>
      <c r="AK994" s="1800"/>
      <c r="AL994" s="1800"/>
      <c r="AM994" s="1800"/>
      <c r="AN994" s="1800"/>
      <c r="AO994" s="1800"/>
      <c r="AP994" s="1800"/>
      <c r="AQ994" s="18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7"/>
      <c r="E995" s="1818"/>
      <c r="F995" s="1818"/>
      <c r="G995" s="1818"/>
      <c r="H995" s="1818"/>
      <c r="I995" s="1818"/>
      <c r="J995" s="1818"/>
      <c r="K995" s="1818"/>
      <c r="L995" s="1818"/>
      <c r="M995" s="1818"/>
      <c r="N995" s="1818"/>
      <c r="O995" s="1818"/>
      <c r="P995" s="1818"/>
      <c r="Q995" s="1818"/>
      <c r="R995" s="1818"/>
      <c r="S995" s="1818"/>
      <c r="T995" s="1818"/>
      <c r="U995" s="1818"/>
      <c r="V995" s="1818"/>
      <c r="W995" s="1818"/>
      <c r="X995" s="1818"/>
      <c r="Y995" s="1818"/>
      <c r="Z995" s="1818"/>
      <c r="AA995" s="1818"/>
      <c r="AB995" s="1818"/>
      <c r="AC995" s="1818"/>
      <c r="AD995" s="1818"/>
      <c r="AE995" s="1819"/>
      <c r="AF995" s="73"/>
      <c r="AG995" s="14"/>
      <c r="AH995" s="14"/>
      <c r="AI995" s="83"/>
      <c r="AJ995" s="1799"/>
      <c r="AK995" s="1800"/>
      <c r="AL995" s="1800"/>
      <c r="AM995" s="1800"/>
      <c r="AN995" s="1800"/>
      <c r="AO995" s="1800"/>
      <c r="AP995" s="1800"/>
      <c r="AQ995" s="18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7"/>
      <c r="E996" s="1818"/>
      <c r="F996" s="1818"/>
      <c r="G996" s="1818"/>
      <c r="H996" s="1818"/>
      <c r="I996" s="1818"/>
      <c r="J996" s="1818"/>
      <c r="K996" s="1818"/>
      <c r="L996" s="1818"/>
      <c r="M996" s="1818"/>
      <c r="N996" s="1818"/>
      <c r="O996" s="1818"/>
      <c r="P996" s="1818"/>
      <c r="Q996" s="1818"/>
      <c r="R996" s="1818"/>
      <c r="S996" s="1818"/>
      <c r="T996" s="1818"/>
      <c r="U996" s="1818"/>
      <c r="V996" s="1818"/>
      <c r="W996" s="1818"/>
      <c r="X996" s="1818"/>
      <c r="Y996" s="1818"/>
      <c r="Z996" s="1818"/>
      <c r="AA996" s="1818"/>
      <c r="AB996" s="1818"/>
      <c r="AC996" s="1818"/>
      <c r="AD996" s="1818"/>
      <c r="AE996" s="1819"/>
      <c r="AF996" s="73"/>
      <c r="AG996" s="14"/>
      <c r="AH996" s="14"/>
      <c r="AI996" s="83"/>
      <c r="AJ996" s="1799"/>
      <c r="AK996" s="1800"/>
      <c r="AL996" s="1800"/>
      <c r="AM996" s="1800"/>
      <c r="AN996" s="1800"/>
      <c r="AO996" s="1800"/>
      <c r="AP996" s="1800"/>
      <c r="AQ996" s="18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7"/>
      <c r="E997" s="1818"/>
      <c r="F997" s="1818"/>
      <c r="G997" s="1818"/>
      <c r="H997" s="1818"/>
      <c r="I997" s="1818"/>
      <c r="J997" s="1818"/>
      <c r="K997" s="1818"/>
      <c r="L997" s="1818"/>
      <c r="M997" s="1818"/>
      <c r="N997" s="1818"/>
      <c r="O997" s="1818"/>
      <c r="P997" s="1818"/>
      <c r="Q997" s="1818"/>
      <c r="R997" s="1818"/>
      <c r="S997" s="1818"/>
      <c r="T997" s="1818"/>
      <c r="U997" s="1818"/>
      <c r="V997" s="1818"/>
      <c r="W997" s="1818"/>
      <c r="X997" s="1818"/>
      <c r="Y997" s="1818"/>
      <c r="Z997" s="1818"/>
      <c r="AA997" s="1818"/>
      <c r="AB997" s="1818"/>
      <c r="AC997" s="1818"/>
      <c r="AD997" s="1818"/>
      <c r="AE997" s="1819"/>
      <c r="AF997" s="73"/>
      <c r="AG997" s="14"/>
      <c r="AH997" s="14"/>
      <c r="AI997" s="83"/>
      <c r="AJ997" s="1799"/>
      <c r="AK997" s="1800"/>
      <c r="AL997" s="1800"/>
      <c r="AM997" s="1800"/>
      <c r="AN997" s="1800"/>
      <c r="AO997" s="1800"/>
      <c r="AP997" s="1800"/>
      <c r="AQ997" s="18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0" t="s">
        <v>2568</v>
      </c>
      <c r="E998" s="1821"/>
      <c r="F998" s="1821"/>
      <c r="G998" s="1821"/>
      <c r="H998" s="1821"/>
      <c r="I998" s="1821"/>
      <c r="J998" s="1821"/>
      <c r="K998" s="1821"/>
      <c r="L998" s="1821"/>
      <c r="M998" s="1821"/>
      <c r="N998" s="1821"/>
      <c r="O998" s="1821"/>
      <c r="P998" s="1821"/>
      <c r="Q998" s="1821"/>
      <c r="R998" s="1821"/>
      <c r="S998" s="1821"/>
      <c r="T998" s="1821"/>
      <c r="U998" s="1821"/>
      <c r="V998" s="1821"/>
      <c r="W998" s="1821"/>
      <c r="X998" s="1821"/>
      <c r="Y998" s="1821"/>
      <c r="Z998" s="1821"/>
      <c r="AA998" s="1821"/>
      <c r="AB998" s="1821"/>
      <c r="AC998" s="1821"/>
      <c r="AD998" s="1821"/>
      <c r="AE998" s="1822"/>
      <c r="AF998" s="73"/>
      <c r="AG998" s="14"/>
      <c r="AH998" s="14"/>
      <c r="AI998" s="83"/>
      <c r="AJ998" s="1799"/>
      <c r="AK998" s="1800"/>
      <c r="AL998" s="1800"/>
      <c r="AM998" s="1800"/>
      <c r="AN998" s="1800"/>
      <c r="AO998" s="1800"/>
      <c r="AP998" s="1800"/>
      <c r="AQ998" s="18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4"/>
      <c r="E999" s="1785"/>
      <c r="F999" s="1785"/>
      <c r="G999" s="1785"/>
      <c r="H999" s="1785"/>
      <c r="I999" s="1785"/>
      <c r="J999" s="1785"/>
      <c r="K999" s="1785"/>
      <c r="L999" s="1785"/>
      <c r="M999" s="1785"/>
      <c r="N999" s="1785"/>
      <c r="O999" s="1785"/>
      <c r="P999" s="1785"/>
      <c r="Q999" s="1785"/>
      <c r="R999" s="1785"/>
      <c r="S999" s="1785"/>
      <c r="T999" s="1785"/>
      <c r="U999" s="1785"/>
      <c r="V999" s="1785"/>
      <c r="W999" s="1785"/>
      <c r="X999" s="1785"/>
      <c r="Y999" s="1785"/>
      <c r="Z999" s="1785"/>
      <c r="AA999" s="1785"/>
      <c r="AB999" s="1785"/>
      <c r="AC999" s="1785"/>
      <c r="AD999" s="1785"/>
      <c r="AE999" s="1786"/>
      <c r="AF999" s="77"/>
      <c r="AG999" s="7"/>
      <c r="AH999" s="7"/>
      <c r="AI999" s="78"/>
      <c r="AJ999" s="1802"/>
      <c r="AK999" s="1803"/>
      <c r="AL999" s="1803"/>
      <c r="AM999" s="1803"/>
      <c r="AN999" s="1803"/>
      <c r="AO999" s="1803"/>
      <c r="AP999" s="1803"/>
      <c r="AQ999" s="18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78" t="s">
        <v>1397</v>
      </c>
      <c r="E1000" s="1779"/>
      <c r="F1000" s="1779"/>
      <c r="G1000" s="1779"/>
      <c r="H1000" s="1779"/>
      <c r="I1000" s="1779"/>
      <c r="J1000" s="1779"/>
      <c r="K1000" s="1779"/>
      <c r="L1000" s="1779"/>
      <c r="M1000" s="1779"/>
      <c r="N1000" s="1779"/>
      <c r="O1000" s="1779"/>
      <c r="P1000" s="1779"/>
      <c r="Q1000" s="1779"/>
      <c r="R1000" s="1779"/>
      <c r="S1000" s="1779"/>
      <c r="T1000" s="1779"/>
      <c r="U1000" s="1779"/>
      <c r="V1000" s="1779"/>
      <c r="W1000" s="1779"/>
      <c r="X1000" s="1779"/>
      <c r="Y1000" s="1779"/>
      <c r="Z1000" s="1779"/>
      <c r="AA1000" s="1779"/>
      <c r="AB1000" s="1779"/>
      <c r="AC1000" s="1779"/>
      <c r="AD1000" s="1779"/>
      <c r="AE1000" s="1780"/>
      <c r="AF1000" s="79"/>
      <c r="AG1000" s="1662" t="s">
        <v>678</v>
      </c>
      <c r="AH1000" s="1663"/>
      <c r="AI1000" s="87"/>
      <c r="AJ1000" s="1796">
        <f>ROUND(IF(AG1000="yes",AJ991*0.05,0),0)</f>
        <v>0</v>
      </c>
      <c r="AK1000" s="1797"/>
      <c r="AL1000" s="1797"/>
      <c r="AM1000" s="1797"/>
      <c r="AN1000" s="1797"/>
      <c r="AO1000" s="1797"/>
      <c r="AP1000" s="1797"/>
      <c r="AQ1000" s="17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7" t="s">
        <v>1395</v>
      </c>
      <c r="E1001" s="1818"/>
      <c r="F1001" s="1818"/>
      <c r="G1001" s="1818"/>
      <c r="H1001" s="1818"/>
      <c r="I1001" s="1818"/>
      <c r="J1001" s="1818"/>
      <c r="K1001" s="1818"/>
      <c r="L1001" s="1818"/>
      <c r="M1001" s="1818"/>
      <c r="N1001" s="1818"/>
      <c r="O1001" s="1818"/>
      <c r="P1001" s="1818"/>
      <c r="Q1001" s="1818"/>
      <c r="R1001" s="1818"/>
      <c r="S1001" s="1818"/>
      <c r="T1001" s="1818"/>
      <c r="U1001" s="1818"/>
      <c r="V1001" s="1818"/>
      <c r="W1001" s="1818"/>
      <c r="X1001" s="1818"/>
      <c r="Y1001" s="1818"/>
      <c r="Z1001" s="1818"/>
      <c r="AA1001" s="1818"/>
      <c r="AB1001" s="1818"/>
      <c r="AC1001" s="1818"/>
      <c r="AD1001" s="1818"/>
      <c r="AE1001" s="1819"/>
      <c r="AF1001" s="73"/>
      <c r="AG1001" s="14"/>
      <c r="AH1001" s="14"/>
      <c r="AI1001" s="83"/>
      <c r="AJ1001" s="1799"/>
      <c r="AK1001" s="1800"/>
      <c r="AL1001" s="1800"/>
      <c r="AM1001" s="1800"/>
      <c r="AN1001" s="1800"/>
      <c r="AO1001" s="1800"/>
      <c r="AP1001" s="1800"/>
      <c r="AQ1001" s="18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7"/>
      <c r="E1002" s="1818"/>
      <c r="F1002" s="1818"/>
      <c r="G1002" s="1818"/>
      <c r="H1002" s="1818"/>
      <c r="I1002" s="1818"/>
      <c r="J1002" s="1818"/>
      <c r="K1002" s="1818"/>
      <c r="L1002" s="1818"/>
      <c r="M1002" s="1818"/>
      <c r="N1002" s="1818"/>
      <c r="O1002" s="1818"/>
      <c r="P1002" s="1818"/>
      <c r="Q1002" s="1818"/>
      <c r="R1002" s="1818"/>
      <c r="S1002" s="1818"/>
      <c r="T1002" s="1818"/>
      <c r="U1002" s="1818"/>
      <c r="V1002" s="1818"/>
      <c r="W1002" s="1818"/>
      <c r="X1002" s="1818"/>
      <c r="Y1002" s="1818"/>
      <c r="Z1002" s="1818"/>
      <c r="AA1002" s="1818"/>
      <c r="AB1002" s="1818"/>
      <c r="AC1002" s="1818"/>
      <c r="AD1002" s="1818"/>
      <c r="AE1002" s="1819"/>
      <c r="AF1002" s="73"/>
      <c r="AG1002" s="14"/>
      <c r="AH1002" s="14"/>
      <c r="AI1002" s="83"/>
      <c r="AJ1002" s="1799"/>
      <c r="AK1002" s="1800"/>
      <c r="AL1002" s="1800"/>
      <c r="AM1002" s="1800"/>
      <c r="AN1002" s="1800"/>
      <c r="AO1002" s="1800"/>
      <c r="AP1002" s="1800"/>
      <c r="AQ1002" s="1801"/>
      <c r="AR1002" s="68"/>
      <c r="AS1002" s="68"/>
      <c r="AT1002" s="68"/>
      <c r="AU1002" s="68"/>
      <c r="AV1002" s="68"/>
      <c r="AW1002" s="68"/>
      <c r="AX1002" s="68"/>
      <c r="AY1002" s="949">
        <f>G753+O797</f>
        <v>189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7"/>
      <c r="E1003" s="1818"/>
      <c r="F1003" s="1818"/>
      <c r="G1003" s="1818"/>
      <c r="H1003" s="1818"/>
      <c r="I1003" s="1818"/>
      <c r="J1003" s="1818"/>
      <c r="K1003" s="1818"/>
      <c r="L1003" s="1818"/>
      <c r="M1003" s="1818"/>
      <c r="N1003" s="1818"/>
      <c r="O1003" s="1818"/>
      <c r="P1003" s="1818"/>
      <c r="Q1003" s="1818"/>
      <c r="R1003" s="1818"/>
      <c r="S1003" s="1818"/>
      <c r="T1003" s="1818"/>
      <c r="U1003" s="1818"/>
      <c r="V1003" s="1818"/>
      <c r="W1003" s="1818"/>
      <c r="X1003" s="1818"/>
      <c r="Y1003" s="1818"/>
      <c r="Z1003" s="1818"/>
      <c r="AA1003" s="1818"/>
      <c r="AB1003" s="1818"/>
      <c r="AC1003" s="1818"/>
      <c r="AD1003" s="1818"/>
      <c r="AE1003" s="1819"/>
      <c r="AF1003" s="73"/>
      <c r="AG1003" s="14"/>
      <c r="AH1003" s="14"/>
      <c r="AI1003" s="83"/>
      <c r="AJ1003" s="1799"/>
      <c r="AK1003" s="1800"/>
      <c r="AL1003" s="1800"/>
      <c r="AM1003" s="1800"/>
      <c r="AN1003" s="1800"/>
      <c r="AO1003" s="1800"/>
      <c r="AP1003" s="1800"/>
      <c r="AQ1003" s="18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7"/>
      <c r="E1004" s="1818"/>
      <c r="F1004" s="1818"/>
      <c r="G1004" s="1818"/>
      <c r="H1004" s="1818"/>
      <c r="I1004" s="1818"/>
      <c r="J1004" s="1818"/>
      <c r="K1004" s="1818"/>
      <c r="L1004" s="1818"/>
      <c r="M1004" s="1818"/>
      <c r="N1004" s="1818"/>
      <c r="O1004" s="1818"/>
      <c r="P1004" s="1818"/>
      <c r="Q1004" s="1818"/>
      <c r="R1004" s="1818"/>
      <c r="S1004" s="1818"/>
      <c r="T1004" s="1818"/>
      <c r="U1004" s="1818"/>
      <c r="V1004" s="1818"/>
      <c r="W1004" s="1818"/>
      <c r="X1004" s="1818"/>
      <c r="Y1004" s="1818"/>
      <c r="Z1004" s="1818"/>
      <c r="AA1004" s="1818"/>
      <c r="AB1004" s="1818"/>
      <c r="AC1004" s="1818"/>
      <c r="AD1004" s="1818"/>
      <c r="AE1004" s="1819"/>
      <c r="AF1004" s="73"/>
      <c r="AG1004" s="14"/>
      <c r="AH1004" s="14"/>
      <c r="AI1004" s="83"/>
      <c r="AJ1004" s="1799"/>
      <c r="AK1004" s="1800"/>
      <c r="AL1004" s="1800"/>
      <c r="AM1004" s="1800"/>
      <c r="AN1004" s="1800"/>
      <c r="AO1004" s="1800"/>
      <c r="AP1004" s="1800"/>
      <c r="AQ1004" s="1801"/>
      <c r="AR1004" s="68"/>
      <c r="AS1004" s="68"/>
      <c r="AT1004" s="68"/>
      <c r="AU1004" s="68"/>
      <c r="AV1004" s="68"/>
      <c r="AW1004" s="68"/>
      <c r="AX1004" s="68"/>
      <c r="AY1004" s="948">
        <f>ROUNDDOWN(X1047/I1047,2)</f>
        <v>0.14000000000000001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0"/>
      <c r="E1005" s="1821"/>
      <c r="F1005" s="1821"/>
      <c r="G1005" s="1821"/>
      <c r="H1005" s="1821"/>
      <c r="I1005" s="1821"/>
      <c r="J1005" s="1821"/>
      <c r="K1005" s="1821"/>
      <c r="L1005" s="1821"/>
      <c r="M1005" s="1821"/>
      <c r="N1005" s="1821"/>
      <c r="O1005" s="1821"/>
      <c r="P1005" s="1821"/>
      <c r="Q1005" s="1821"/>
      <c r="R1005" s="1821"/>
      <c r="S1005" s="1821"/>
      <c r="T1005" s="1821"/>
      <c r="U1005" s="1821"/>
      <c r="V1005" s="1821"/>
      <c r="W1005" s="1821"/>
      <c r="X1005" s="1821"/>
      <c r="Y1005" s="1821"/>
      <c r="Z1005" s="1821"/>
      <c r="AA1005" s="1821"/>
      <c r="AB1005" s="1821"/>
      <c r="AC1005" s="1821"/>
      <c r="AD1005" s="1821"/>
      <c r="AE1005" s="1822"/>
      <c r="AF1005" s="77"/>
      <c r="AG1005" s="7"/>
      <c r="AH1005" s="7"/>
      <c r="AI1005" s="78"/>
      <c r="AJ1005" s="1802"/>
      <c r="AK1005" s="1803"/>
      <c r="AL1005" s="1803"/>
      <c r="AM1005" s="1803"/>
      <c r="AN1005" s="1803"/>
      <c r="AO1005" s="1803"/>
      <c r="AP1005" s="1803"/>
      <c r="AQ1005" s="1804"/>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78" t="s">
        <v>1874</v>
      </c>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86"/>
      <c r="AG1006" s="1662" t="s">
        <v>678</v>
      </c>
      <c r="AH1006" s="1663"/>
      <c r="AI1006" s="87"/>
      <c r="AJ1006" s="1796">
        <f>ROUND(IF(AG1006="yes",AJ991*0.1,0),0)</f>
        <v>0</v>
      </c>
      <c r="AK1006" s="1797"/>
      <c r="AL1006" s="1797"/>
      <c r="AM1006" s="1797"/>
      <c r="AN1006" s="1797"/>
      <c r="AO1006" s="1797"/>
      <c r="AP1006" s="1797"/>
      <c r="AQ1006" s="1798"/>
      <c r="AR1006" s="68"/>
      <c r="AS1006" s="68"/>
      <c r="AT1006" s="68"/>
      <c r="AU1006" s="68"/>
      <c r="AV1006" s="68"/>
      <c r="AW1006" s="68"/>
      <c r="AX1006" s="68"/>
      <c r="BB1006" s="34"/>
      <c r="BD1006" s="34"/>
      <c r="BE1006" s="34"/>
      <c r="BF1006" s="34"/>
    </row>
    <row r="1007" spans="1:157" ht="12.95" customHeight="1">
      <c r="A1007" s="14"/>
      <c r="B1007" s="73"/>
      <c r="C1007" s="74"/>
      <c r="D1007" s="1680" t="s">
        <v>1396</v>
      </c>
      <c r="E1007" s="1681"/>
      <c r="F1007" s="1681"/>
      <c r="G1007" s="1681"/>
      <c r="H1007" s="1681"/>
      <c r="I1007" s="1681"/>
      <c r="J1007" s="1681"/>
      <c r="K1007" s="1681"/>
      <c r="L1007" s="1681"/>
      <c r="M1007" s="1681"/>
      <c r="N1007" s="1681"/>
      <c r="O1007" s="1681"/>
      <c r="P1007" s="1681"/>
      <c r="Q1007" s="1681"/>
      <c r="R1007" s="1681"/>
      <c r="S1007" s="1681"/>
      <c r="T1007" s="1681"/>
      <c r="U1007" s="1681"/>
      <c r="V1007" s="1681"/>
      <c r="W1007" s="1681"/>
      <c r="X1007" s="1681"/>
      <c r="Y1007" s="1681"/>
      <c r="Z1007" s="1681"/>
      <c r="AA1007" s="1681"/>
      <c r="AB1007" s="1681"/>
      <c r="AC1007" s="1681"/>
      <c r="AD1007" s="1681"/>
      <c r="AE1007" s="1682"/>
      <c r="AF1007" s="73"/>
      <c r="AI1007" s="83"/>
      <c r="AJ1007" s="1799"/>
      <c r="AK1007" s="1800"/>
      <c r="AL1007" s="1800"/>
      <c r="AM1007" s="1800"/>
      <c r="AN1007" s="1800"/>
      <c r="AO1007" s="1800"/>
      <c r="AP1007" s="1800"/>
      <c r="AQ1007" s="1801"/>
      <c r="AR1007" s="68"/>
      <c r="AS1007" s="68"/>
      <c r="AT1007" s="68"/>
      <c r="AU1007" s="68"/>
      <c r="AV1007" s="68"/>
      <c r="AW1007" s="68"/>
      <c r="AX1007" s="68"/>
    </row>
    <row r="1008" spans="1:157" ht="12.95" customHeight="1">
      <c r="A1008" s="14"/>
      <c r="B1008" s="73"/>
      <c r="C1008" s="74"/>
      <c r="D1008" s="1680"/>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2"/>
      <c r="AF1008" s="73"/>
      <c r="AG1008" s="14"/>
      <c r="AH1008" s="14"/>
      <c r="AI1008" s="83"/>
      <c r="AJ1008" s="1799"/>
      <c r="AK1008" s="1800"/>
      <c r="AL1008" s="1800"/>
      <c r="AM1008" s="1800"/>
      <c r="AN1008" s="1800"/>
      <c r="AO1008" s="1800"/>
      <c r="AP1008" s="1800"/>
      <c r="AQ1008" s="1801"/>
      <c r="AR1008" s="68"/>
      <c r="AS1008" s="68"/>
      <c r="AT1008" s="68"/>
      <c r="AU1008" s="68"/>
      <c r="AV1008" s="68"/>
      <c r="AW1008" s="68"/>
      <c r="AX1008" s="68"/>
    </row>
    <row r="1009" spans="1:51" ht="12.95" customHeight="1">
      <c r="A1009" s="14"/>
      <c r="B1009" s="85"/>
      <c r="C1009" s="76"/>
      <c r="D1009" s="1683"/>
      <c r="E1009" s="1684"/>
      <c r="F1009" s="1684"/>
      <c r="G1009" s="1684"/>
      <c r="H1009" s="1684"/>
      <c r="I1009" s="1684"/>
      <c r="J1009" s="1684"/>
      <c r="K1009" s="1684"/>
      <c r="L1009" s="1684"/>
      <c r="M1009" s="1684"/>
      <c r="N1009" s="1684"/>
      <c r="O1009" s="1684"/>
      <c r="P1009" s="1684"/>
      <c r="Q1009" s="1684"/>
      <c r="R1009" s="1684"/>
      <c r="S1009" s="1684"/>
      <c r="T1009" s="1684"/>
      <c r="U1009" s="1684"/>
      <c r="V1009" s="1684"/>
      <c r="W1009" s="1684"/>
      <c r="X1009" s="1684"/>
      <c r="Y1009" s="1684"/>
      <c r="Z1009" s="1684"/>
      <c r="AA1009" s="1684"/>
      <c r="AB1009" s="1684"/>
      <c r="AC1009" s="1684"/>
      <c r="AD1009" s="1684"/>
      <c r="AE1009" s="1685"/>
      <c r="AF1009" s="77"/>
      <c r="AG1009" s="7"/>
      <c r="AH1009" s="7"/>
      <c r="AI1009" s="78"/>
      <c r="AJ1009" s="1802"/>
      <c r="AK1009" s="1803"/>
      <c r="AL1009" s="1803"/>
      <c r="AM1009" s="1803"/>
      <c r="AN1009" s="1803"/>
      <c r="AO1009" s="1803"/>
      <c r="AP1009" s="1803"/>
      <c r="AQ1009" s="1804"/>
      <c r="AR1009" s="68"/>
      <c r="AS1009" s="68"/>
      <c r="AT1009" s="68"/>
      <c r="AU1009" s="68"/>
      <c r="AV1009" s="68"/>
      <c r="AW1009" s="68"/>
      <c r="AX1009" s="68"/>
    </row>
    <row r="1010" spans="1:51" ht="12.95" customHeight="1">
      <c r="A1010" s="14"/>
      <c r="B1010" s="79"/>
      <c r="C1010" s="80" t="s">
        <v>213</v>
      </c>
      <c r="D1010" s="1778" t="s">
        <v>1398</v>
      </c>
      <c r="E1010" s="1779"/>
      <c r="F1010" s="1779"/>
      <c r="G1010" s="1779"/>
      <c r="H1010" s="1779"/>
      <c r="I1010" s="1779"/>
      <c r="J1010" s="1779"/>
      <c r="K1010" s="1779"/>
      <c r="L1010" s="1779"/>
      <c r="M1010" s="1779"/>
      <c r="N1010" s="1779"/>
      <c r="O1010" s="1779"/>
      <c r="P1010" s="1779"/>
      <c r="Q1010" s="1779"/>
      <c r="R1010" s="1779"/>
      <c r="S1010" s="1779"/>
      <c r="T1010" s="1779"/>
      <c r="U1010" s="1779"/>
      <c r="V1010" s="1779"/>
      <c r="W1010" s="1779"/>
      <c r="X1010" s="1779"/>
      <c r="Y1010" s="1779"/>
      <c r="Z1010" s="1779"/>
      <c r="AA1010" s="1779"/>
      <c r="AB1010" s="1779"/>
      <c r="AC1010" s="1779"/>
      <c r="AD1010" s="1779"/>
      <c r="AE1010" s="1780"/>
      <c r="AF1010" s="79"/>
      <c r="AG1010" s="1662" t="s">
        <v>678</v>
      </c>
      <c r="AH1010" s="1663"/>
      <c r="AI1010" s="87"/>
      <c r="AJ1010" s="1796">
        <f>ROUND(IF(AG1010="yes",AJ991*0.02,0),0)</f>
        <v>0</v>
      </c>
      <c r="AK1010" s="1797"/>
      <c r="AL1010" s="1797"/>
      <c r="AM1010" s="1797"/>
      <c r="AN1010" s="1797"/>
      <c r="AO1010" s="1797"/>
      <c r="AP1010" s="1797"/>
      <c r="AQ1010" s="1798"/>
      <c r="AR1010" s="68"/>
      <c r="AS1010" s="68"/>
      <c r="AT1010" s="68"/>
      <c r="AU1010" s="68"/>
      <c r="AV1010" s="68"/>
      <c r="AW1010" s="68"/>
      <c r="AX1010" s="68"/>
      <c r="AY1010" s="215">
        <f>IF(SUM(AY1012:AY1020)&lt;=0.1,SUM(AY1012:AY1020),0.1)</f>
        <v>0</v>
      </c>
    </row>
    <row r="1011" spans="1:51" ht="14.25" customHeight="1">
      <c r="A1011" s="14"/>
      <c r="B1011" s="73"/>
      <c r="C1011" s="74"/>
      <c r="D1011" s="1683" t="s">
        <v>1399</v>
      </c>
      <c r="E1011" s="1684"/>
      <c r="F1011" s="1684"/>
      <c r="G1011" s="1684"/>
      <c r="H1011" s="1684"/>
      <c r="I1011" s="1684"/>
      <c r="J1011" s="1684"/>
      <c r="K1011" s="1684"/>
      <c r="L1011" s="1684"/>
      <c r="M1011" s="1684"/>
      <c r="N1011" s="1684"/>
      <c r="O1011" s="1684"/>
      <c r="P1011" s="1684"/>
      <c r="Q1011" s="1684"/>
      <c r="R1011" s="1684"/>
      <c r="S1011" s="1684"/>
      <c r="T1011" s="1684"/>
      <c r="U1011" s="1684"/>
      <c r="V1011" s="1684"/>
      <c r="W1011" s="1684"/>
      <c r="X1011" s="1684"/>
      <c r="Y1011" s="1684"/>
      <c r="Z1011" s="1684"/>
      <c r="AA1011" s="1684"/>
      <c r="AB1011" s="1684"/>
      <c r="AC1011" s="1684"/>
      <c r="AD1011" s="1684"/>
      <c r="AE1011" s="1685"/>
      <c r="AF1011" s="77"/>
      <c r="AG1011" s="7"/>
      <c r="AH1011" s="7"/>
      <c r="AI1011" s="78"/>
      <c r="AJ1011" s="1802"/>
      <c r="AK1011" s="1803"/>
      <c r="AL1011" s="1803"/>
      <c r="AM1011" s="1803"/>
      <c r="AN1011" s="1803"/>
      <c r="AO1011" s="1803"/>
      <c r="AP1011" s="1803"/>
      <c r="AQ1011" s="1804"/>
      <c r="AR1011" s="68"/>
      <c r="AS1011" s="68"/>
      <c r="AT1011" s="68"/>
      <c r="AU1011" s="68"/>
      <c r="AV1011" s="68"/>
      <c r="AW1011" s="68"/>
      <c r="AX1011" s="68"/>
    </row>
    <row r="1012" spans="1:51" ht="12.95" customHeight="1">
      <c r="A1012" s="14"/>
      <c r="B1012" s="79"/>
      <c r="C1012" s="80" t="s">
        <v>216</v>
      </c>
      <c r="D1012" s="1778" t="s">
        <v>1400</v>
      </c>
      <c r="E1012" s="1779"/>
      <c r="F1012" s="1779"/>
      <c r="G1012" s="1779"/>
      <c r="H1012" s="1779"/>
      <c r="I1012" s="1779"/>
      <c r="J1012" s="1779"/>
      <c r="K1012" s="1779"/>
      <c r="L1012" s="1779"/>
      <c r="M1012" s="1779"/>
      <c r="N1012" s="1779"/>
      <c r="O1012" s="1779"/>
      <c r="P1012" s="1779"/>
      <c r="Q1012" s="1779"/>
      <c r="R1012" s="1779"/>
      <c r="S1012" s="1779"/>
      <c r="T1012" s="1779"/>
      <c r="U1012" s="1779"/>
      <c r="V1012" s="1779"/>
      <c r="W1012" s="1779"/>
      <c r="X1012" s="1779"/>
      <c r="Y1012" s="1779"/>
      <c r="Z1012" s="1779"/>
      <c r="AA1012" s="1779"/>
      <c r="AB1012" s="1779"/>
      <c r="AC1012" s="1779"/>
      <c r="AD1012" s="1779"/>
      <c r="AE1012" s="1780"/>
      <c r="AF1012" s="79"/>
      <c r="AG1012" s="1662" t="s">
        <v>678</v>
      </c>
      <c r="AH1012" s="1663"/>
      <c r="AI1012" s="79"/>
      <c r="AJ1012" s="1796">
        <f>ROUND(IF(AG1012="yes",AJ991*0.02,0),0)</f>
        <v>0</v>
      </c>
      <c r="AK1012" s="1797"/>
      <c r="AL1012" s="1797"/>
      <c r="AM1012" s="1797"/>
      <c r="AN1012" s="1797"/>
      <c r="AO1012" s="1797"/>
      <c r="AP1012" s="1797"/>
      <c r="AQ1012" s="1798"/>
      <c r="AR1012" s="68"/>
      <c r="AS1012" s="68"/>
      <c r="AT1012" s="68"/>
      <c r="AU1012" s="68"/>
      <c r="AV1012" s="68"/>
      <c r="AW1012" s="68"/>
      <c r="AX1012" s="68"/>
      <c r="AY1012" s="213">
        <f>IF(A1064="Yes",0.05,0)</f>
        <v>0</v>
      </c>
    </row>
    <row r="1013" spans="1:51" ht="12.95" customHeight="1">
      <c r="A1013" s="14"/>
      <c r="B1013" s="73"/>
      <c r="C1013" s="74"/>
      <c r="D1013" s="1680" t="s">
        <v>1401</v>
      </c>
      <c r="E1013" s="1681"/>
      <c r="F1013" s="1681"/>
      <c r="G1013" s="1681"/>
      <c r="H1013" s="1681"/>
      <c r="I1013" s="1681"/>
      <c r="J1013" s="1681"/>
      <c r="K1013" s="1681"/>
      <c r="L1013" s="1681"/>
      <c r="M1013" s="1681"/>
      <c r="N1013" s="1681"/>
      <c r="O1013" s="1681"/>
      <c r="P1013" s="1681"/>
      <c r="Q1013" s="1681"/>
      <c r="R1013" s="1681"/>
      <c r="S1013" s="1681"/>
      <c r="T1013" s="1681"/>
      <c r="U1013" s="1681"/>
      <c r="V1013" s="1681"/>
      <c r="W1013" s="1681"/>
      <c r="X1013" s="1681"/>
      <c r="Y1013" s="1681"/>
      <c r="Z1013" s="1681"/>
      <c r="AA1013" s="1681"/>
      <c r="AB1013" s="1681"/>
      <c r="AC1013" s="1681"/>
      <c r="AD1013" s="1681"/>
      <c r="AE1013" s="1682"/>
      <c r="AF1013" s="1861" t="str">
        <f>IF(AND(AG1012="yes",AB212&lt;&gt;1),"The project may not be eligible for this boost","")</f>
        <v/>
      </c>
      <c r="AG1013" s="1862"/>
      <c r="AH1013" s="1862"/>
      <c r="AI1013" s="1863"/>
      <c r="AJ1013" s="1799"/>
      <c r="AK1013" s="1800"/>
      <c r="AL1013" s="1800"/>
      <c r="AM1013" s="1800"/>
      <c r="AN1013" s="1800"/>
      <c r="AO1013" s="1800"/>
      <c r="AP1013" s="1800"/>
      <c r="AQ1013" s="1801"/>
      <c r="AR1013" s="68"/>
      <c r="AS1013" s="68"/>
      <c r="AT1013" s="68"/>
      <c r="AU1013" s="68"/>
      <c r="AV1013" s="68"/>
      <c r="AW1013" s="68"/>
      <c r="AX1013" s="68"/>
      <c r="AY1013" s="213">
        <f>IF(A1070="Yes",0.02,0)</f>
        <v>0</v>
      </c>
    </row>
    <row r="1014" spans="1:51" ht="12.95" customHeight="1">
      <c r="A1014" s="14"/>
      <c r="B1014" s="75"/>
      <c r="C1014" s="76"/>
      <c r="D1014" s="1683"/>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5"/>
      <c r="AF1014" s="1864"/>
      <c r="AG1014" s="1865"/>
      <c r="AH1014" s="1865"/>
      <c r="AI1014" s="1866"/>
      <c r="AJ1014" s="1802"/>
      <c r="AK1014" s="1803"/>
      <c r="AL1014" s="1803"/>
      <c r="AM1014" s="1803"/>
      <c r="AN1014" s="1803"/>
      <c r="AO1014" s="1803"/>
      <c r="AP1014" s="1803"/>
      <c r="AQ1014" s="1804"/>
      <c r="AR1014" s="68"/>
      <c r="AS1014" s="68"/>
      <c r="AT1014" s="68"/>
      <c r="AU1014" s="68"/>
      <c r="AV1014" s="68"/>
      <c r="AW1014" s="68"/>
      <c r="AX1014" s="68"/>
      <c r="AY1014" s="213">
        <f>IF(A1076="Yes",0.04,0)</f>
        <v>0</v>
      </c>
    </row>
    <row r="1015" spans="1:51" ht="12.95" customHeight="1">
      <c r="A1015" s="14"/>
      <c r="B1015" s="79"/>
      <c r="C1015" s="80" t="s">
        <v>219</v>
      </c>
      <c r="D1015" s="1775" t="s">
        <v>1402</v>
      </c>
      <c r="E1015" s="1776"/>
      <c r="F1015" s="1776"/>
      <c r="G1015" s="1776"/>
      <c r="H1015" s="1776"/>
      <c r="I1015" s="1776"/>
      <c r="J1015" s="1776"/>
      <c r="K1015" s="1776"/>
      <c r="L1015" s="1776"/>
      <c r="M1015" s="1776"/>
      <c r="N1015" s="1776"/>
      <c r="O1015" s="1776"/>
      <c r="P1015" s="1776"/>
      <c r="Q1015" s="1776"/>
      <c r="R1015" s="1776"/>
      <c r="S1015" s="1776"/>
      <c r="T1015" s="1776"/>
      <c r="U1015" s="1776"/>
      <c r="V1015" s="1776"/>
      <c r="W1015" s="1776"/>
      <c r="X1015" s="1776"/>
      <c r="Y1015" s="1776"/>
      <c r="Z1015" s="1776"/>
      <c r="AA1015" s="1776"/>
      <c r="AB1015" s="1776"/>
      <c r="AC1015" s="1776"/>
      <c r="AD1015" s="1776"/>
      <c r="AE1015" s="1777"/>
      <c r="AF1015" s="79"/>
      <c r="AG1015" s="1662" t="s">
        <v>678</v>
      </c>
      <c r="AH1015" s="1663"/>
      <c r="AI1015" s="87"/>
      <c r="AJ1015" s="1796">
        <f>IF(AG1015="yes",AJ991*AY1010,0)</f>
        <v>0</v>
      </c>
      <c r="AK1015" s="1797"/>
      <c r="AL1015" s="1797"/>
      <c r="AM1015" s="1797"/>
      <c r="AN1015" s="1797"/>
      <c r="AO1015" s="1797"/>
      <c r="AP1015" s="1797"/>
      <c r="AQ1015" s="1798"/>
      <c r="AR1015" s="68"/>
      <c r="AS1015" s="68"/>
      <c r="AT1015" s="68"/>
      <c r="AU1015" s="68"/>
      <c r="AV1015" s="68"/>
      <c r="AW1015" s="68"/>
      <c r="AX1015" s="68"/>
      <c r="AY1015" s="213">
        <f>IF(A1083="Yes",0.04,0)</f>
        <v>0</v>
      </c>
    </row>
    <row r="1016" spans="1:51" ht="12.95" customHeight="1">
      <c r="A1016" s="14"/>
      <c r="B1016" s="73"/>
      <c r="C1016" s="74"/>
      <c r="D1016" s="1680" t="s">
        <v>1403</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1855" t="str">
        <f>IF(AND(AG1015="Yes",AY1010=0),AY1022,"")</f>
        <v/>
      </c>
      <c r="AG1016" s="1856"/>
      <c r="AH1016" s="1856"/>
      <c r="AI1016" s="1857"/>
      <c r="AJ1016" s="1799"/>
      <c r="AK1016" s="1800"/>
      <c r="AL1016" s="1800"/>
      <c r="AM1016" s="1800"/>
      <c r="AN1016" s="1800"/>
      <c r="AO1016" s="1800"/>
      <c r="AP1016" s="1800"/>
      <c r="AQ1016" s="1801"/>
      <c r="AR1016" s="68"/>
      <c r="AS1016" s="68"/>
      <c r="AT1016" s="68"/>
      <c r="AU1016" s="68"/>
      <c r="AV1016" s="68"/>
      <c r="AW1016" s="68"/>
      <c r="AX1016" s="68"/>
      <c r="AY1016" s="213">
        <f>IF(A1086="Yes",0.01,0)</f>
        <v>0</v>
      </c>
    </row>
    <row r="1017" spans="1:51" ht="12.95" customHeight="1">
      <c r="A1017" s="14"/>
      <c r="B1017" s="73"/>
      <c r="C1017" s="74"/>
      <c r="D1017" s="1680"/>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1855"/>
      <c r="AG1017" s="1856"/>
      <c r="AH1017" s="1856"/>
      <c r="AI1017" s="1857"/>
      <c r="AJ1017" s="1799"/>
      <c r="AK1017" s="1800"/>
      <c r="AL1017" s="1800"/>
      <c r="AM1017" s="1800"/>
      <c r="AN1017" s="1800"/>
      <c r="AO1017" s="1800"/>
      <c r="AP1017" s="1800"/>
      <c r="AQ1017" s="1801"/>
      <c r="AR1017" s="68"/>
      <c r="AS1017" s="68"/>
      <c r="AT1017" s="68"/>
      <c r="AU1017" s="68"/>
      <c r="AV1017" s="68"/>
      <c r="AW1017" s="68"/>
      <c r="AX1017" s="68"/>
      <c r="AY1017" s="213">
        <f>IF(A1091="Yes",0.01,0)</f>
        <v>0</v>
      </c>
    </row>
    <row r="1018" spans="1:51" ht="12.95" customHeight="1">
      <c r="A1018" s="14"/>
      <c r="B1018" s="81"/>
      <c r="C1018" s="82"/>
      <c r="D1018" s="1683"/>
      <c r="E1018" s="1684"/>
      <c r="F1018" s="1684"/>
      <c r="G1018" s="1684"/>
      <c r="H1018" s="1684"/>
      <c r="I1018" s="1684"/>
      <c r="J1018" s="1684"/>
      <c r="K1018" s="1684"/>
      <c r="L1018" s="1684"/>
      <c r="M1018" s="1684"/>
      <c r="N1018" s="1684"/>
      <c r="O1018" s="1684"/>
      <c r="P1018" s="1684"/>
      <c r="Q1018" s="1684"/>
      <c r="R1018" s="1684"/>
      <c r="S1018" s="1684"/>
      <c r="T1018" s="1684"/>
      <c r="U1018" s="1684"/>
      <c r="V1018" s="1684"/>
      <c r="W1018" s="1684"/>
      <c r="X1018" s="1684"/>
      <c r="Y1018" s="1684"/>
      <c r="Z1018" s="1684"/>
      <c r="AA1018" s="1684"/>
      <c r="AB1018" s="1684"/>
      <c r="AC1018" s="1684"/>
      <c r="AD1018" s="1684"/>
      <c r="AE1018" s="1685"/>
      <c r="AF1018" s="1858"/>
      <c r="AG1018" s="1859"/>
      <c r="AH1018" s="1859"/>
      <c r="AI1018" s="1860"/>
      <c r="AJ1018" s="1802"/>
      <c r="AK1018" s="1803"/>
      <c r="AL1018" s="1803"/>
      <c r="AM1018" s="1803"/>
      <c r="AN1018" s="1803"/>
      <c r="AO1018" s="1803"/>
      <c r="AP1018" s="1803"/>
      <c r="AQ1018" s="1804"/>
      <c r="AR1018" s="68"/>
      <c r="AS1018" s="68"/>
      <c r="AT1018" s="68"/>
      <c r="AU1018" s="68"/>
      <c r="AV1018" s="68"/>
      <c r="AW1018" s="68"/>
      <c r="AX1018" s="68"/>
      <c r="AY1018" s="213">
        <f>IF(A1094="Yes",0.01,0)</f>
        <v>0</v>
      </c>
    </row>
    <row r="1019" spans="1:51" ht="12.95" customHeight="1">
      <c r="A1019" s="14"/>
      <c r="B1019" s="79"/>
      <c r="C1019" s="80" t="s">
        <v>224</v>
      </c>
      <c r="D1019" s="1805" t="s">
        <v>1404</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62" t="s">
        <v>678</v>
      </c>
      <c r="AH1019" s="1663"/>
      <c r="AI1019" s="87"/>
      <c r="AJ1019" s="1796">
        <f>ROUND(IF(AND(AG1019="Yes",J1023&lt;&gt;"N/A",AF1022&lt;&gt;""),MIN(AF1022,(0.15*AJ991)),0),0)</f>
        <v>0</v>
      </c>
      <c r="AK1019" s="1797"/>
      <c r="AL1019" s="1797"/>
      <c r="AM1019" s="1797"/>
      <c r="AN1019" s="1797"/>
      <c r="AO1019" s="1797"/>
      <c r="AP1019" s="1797"/>
      <c r="AQ1019" s="1798"/>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42" t="str">
        <f>IF(AG1019="yes","Please Select Type and Enter Amount:","")</f>
        <v/>
      </c>
      <c r="AG1020" s="1843"/>
      <c r="AH1020" s="1843"/>
      <c r="AI1020" s="1844"/>
      <c r="AJ1020" s="1799"/>
      <c r="AK1020" s="1800"/>
      <c r="AL1020" s="1800"/>
      <c r="AM1020" s="1800"/>
      <c r="AN1020" s="1800"/>
      <c r="AO1020" s="1800"/>
      <c r="AP1020" s="1800"/>
      <c r="AQ1020" s="1801"/>
      <c r="AR1020" s="68"/>
      <c r="AS1020" s="68"/>
      <c r="AT1020" s="68"/>
      <c r="AU1020" s="68"/>
      <c r="AV1020" s="68"/>
      <c r="AW1020" s="68"/>
      <c r="AX1020" s="68"/>
      <c r="AY1020" s="214">
        <f>IF(A1103="Yes",0.02,0)</f>
        <v>0</v>
      </c>
    </row>
    <row r="1021" spans="1:51" ht="12.95" customHeight="1">
      <c r="A1021" s="14"/>
      <c r="B1021" s="81"/>
      <c r="C1021" s="84"/>
      <c r="D1021" s="1680" t="s">
        <v>1405</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1842"/>
      <c r="AG1021" s="1843"/>
      <c r="AH1021" s="1843"/>
      <c r="AI1021" s="1844"/>
      <c r="AJ1021" s="1799"/>
      <c r="AK1021" s="1800"/>
      <c r="AL1021" s="1800"/>
      <c r="AM1021" s="1800"/>
      <c r="AN1021" s="1800"/>
      <c r="AO1021" s="1800"/>
      <c r="AP1021" s="1800"/>
      <c r="AQ1021" s="1801"/>
      <c r="AR1021" s="68"/>
      <c r="AS1021" s="68"/>
      <c r="AT1021" s="68"/>
      <c r="AU1021" s="68"/>
      <c r="AV1021" s="68"/>
      <c r="AW1021" s="68"/>
      <c r="AX1021" s="68"/>
      <c r="AY1021" s="68"/>
    </row>
    <row r="1022" spans="1:51" ht="12.95" customHeight="1">
      <c r="A1022" s="14"/>
      <c r="B1022" s="81"/>
      <c r="C1022" s="84"/>
      <c r="D1022" s="1680"/>
      <c r="E1022" s="1681"/>
      <c r="F1022" s="1681"/>
      <c r="G1022" s="1681"/>
      <c r="H1022" s="1681"/>
      <c r="I1022" s="1681"/>
      <c r="J1022" s="1681"/>
      <c r="K1022" s="1681"/>
      <c r="L1022" s="1681"/>
      <c r="M1022" s="1681"/>
      <c r="N1022" s="1681"/>
      <c r="O1022" s="1681"/>
      <c r="P1022" s="1681"/>
      <c r="Q1022" s="1681"/>
      <c r="R1022" s="1681"/>
      <c r="S1022" s="1681"/>
      <c r="T1022" s="1681"/>
      <c r="U1022" s="1681"/>
      <c r="V1022" s="1681"/>
      <c r="W1022" s="1681"/>
      <c r="X1022" s="1681"/>
      <c r="Y1022" s="1681"/>
      <c r="Z1022" s="1681"/>
      <c r="AA1022" s="1681"/>
      <c r="AB1022" s="1681"/>
      <c r="AC1022" s="1681"/>
      <c r="AD1022" s="1681"/>
      <c r="AE1022" s="1682"/>
      <c r="AF1022" s="1833"/>
      <c r="AG1022" s="1833"/>
      <c r="AH1022" s="1833"/>
      <c r="AI1022" s="1833"/>
      <c r="AJ1022" s="1799"/>
      <c r="AK1022" s="1800"/>
      <c r="AL1022" s="1800"/>
      <c r="AM1022" s="1800"/>
      <c r="AN1022" s="1800"/>
      <c r="AO1022" s="1800"/>
      <c r="AP1022" s="1800"/>
      <c r="AQ1022" s="180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4" t="s">
        <v>600</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833"/>
      <c r="AG1023" s="1833"/>
      <c r="AH1023" s="1833"/>
      <c r="AI1023" s="1833"/>
      <c r="AJ1023" s="1802"/>
      <c r="AK1023" s="1803"/>
      <c r="AL1023" s="1803"/>
      <c r="AM1023" s="1803"/>
      <c r="AN1023" s="1803"/>
      <c r="AO1023" s="1803"/>
      <c r="AP1023" s="1803"/>
      <c r="AQ1023" s="1804"/>
      <c r="AR1023" s="68"/>
      <c r="AS1023" s="68"/>
      <c r="AT1023" s="68"/>
      <c r="AU1023" s="68"/>
      <c r="AV1023" s="68"/>
      <c r="AW1023" s="68"/>
      <c r="AX1023" s="68"/>
      <c r="AY1023" s="68"/>
    </row>
    <row r="1024" spans="1:51" ht="12.95" customHeight="1">
      <c r="A1024" s="14"/>
      <c r="B1024" s="79"/>
      <c r="C1024" s="80" t="s">
        <v>230</v>
      </c>
      <c r="D1024" s="1778" t="s">
        <v>1406</v>
      </c>
      <c r="E1024" s="1779"/>
      <c r="F1024" s="1779"/>
      <c r="G1024" s="1779"/>
      <c r="H1024" s="1779"/>
      <c r="I1024" s="1779"/>
      <c r="J1024" s="1779"/>
      <c r="K1024" s="1779"/>
      <c r="L1024" s="1779"/>
      <c r="M1024" s="1779"/>
      <c r="N1024" s="1779"/>
      <c r="O1024" s="1779"/>
      <c r="P1024" s="1779"/>
      <c r="Q1024" s="1779"/>
      <c r="R1024" s="1779"/>
      <c r="S1024" s="1779"/>
      <c r="T1024" s="1779"/>
      <c r="U1024" s="1779"/>
      <c r="V1024" s="1779"/>
      <c r="W1024" s="1779"/>
      <c r="X1024" s="1779"/>
      <c r="Y1024" s="1779"/>
      <c r="Z1024" s="1779"/>
      <c r="AA1024" s="1779"/>
      <c r="AB1024" s="1779"/>
      <c r="AC1024" s="1779"/>
      <c r="AD1024" s="1779"/>
      <c r="AE1024" s="1780"/>
      <c r="AF1024" s="79"/>
      <c r="AG1024" s="1662" t="s">
        <v>554</v>
      </c>
      <c r="AH1024" s="1663"/>
      <c r="AI1024" s="87"/>
      <c r="AJ1024" s="1796">
        <f>ROUND(IF(AG1024="Yes",AF1026,0),0)</f>
        <v>4500500</v>
      </c>
      <c r="AK1024" s="1797"/>
      <c r="AL1024" s="1797"/>
      <c r="AM1024" s="1797"/>
      <c r="AN1024" s="1797"/>
      <c r="AO1024" s="1797"/>
      <c r="AP1024" s="1797"/>
      <c r="AQ1024" s="1798"/>
      <c r="AR1024" s="68"/>
      <c r="AS1024" s="68"/>
      <c r="AT1024" s="68"/>
      <c r="AU1024" s="68"/>
      <c r="AV1024" s="68"/>
      <c r="AW1024" s="68"/>
      <c r="AX1024" s="68"/>
      <c r="AY1024" s="68"/>
    </row>
    <row r="1025" spans="1:51" ht="12.95" customHeight="1">
      <c r="A1025" s="14"/>
      <c r="B1025" s="73"/>
      <c r="C1025" s="74"/>
      <c r="D1025" s="1680" t="s">
        <v>1881</v>
      </c>
      <c r="E1025" s="1681"/>
      <c r="F1025" s="1681"/>
      <c r="G1025" s="1681"/>
      <c r="H1025" s="1681"/>
      <c r="I1025" s="1681"/>
      <c r="J1025" s="1681"/>
      <c r="K1025" s="1681"/>
      <c r="L1025" s="1681"/>
      <c r="M1025" s="1681"/>
      <c r="N1025" s="1681"/>
      <c r="O1025" s="1681"/>
      <c r="P1025" s="1681"/>
      <c r="Q1025" s="1681"/>
      <c r="R1025" s="1681"/>
      <c r="S1025" s="1681"/>
      <c r="T1025" s="1681"/>
      <c r="U1025" s="1681"/>
      <c r="V1025" s="1681"/>
      <c r="W1025" s="1681"/>
      <c r="X1025" s="1681"/>
      <c r="Y1025" s="1681"/>
      <c r="Z1025" s="1681"/>
      <c r="AA1025" s="1681"/>
      <c r="AB1025" s="1681"/>
      <c r="AC1025" s="1681"/>
      <c r="AD1025" s="1681"/>
      <c r="AE1025" s="1682"/>
      <c r="AF1025" s="1814" t="str">
        <f>IF(AG1024="yes","Enter Amount:","")</f>
        <v>Enter Amount:</v>
      </c>
      <c r="AG1025" s="1815"/>
      <c r="AH1025" s="1815"/>
      <c r="AI1025" s="1816"/>
      <c r="AJ1025" s="1799"/>
      <c r="AK1025" s="1800"/>
      <c r="AL1025" s="1800"/>
      <c r="AM1025" s="1800"/>
      <c r="AN1025" s="1800"/>
      <c r="AO1025" s="1800"/>
      <c r="AP1025" s="1800"/>
      <c r="AQ1025" s="1801"/>
      <c r="AR1025" s="68"/>
      <c r="AS1025" s="68"/>
      <c r="AT1025" s="68"/>
      <c r="AU1025" s="68"/>
      <c r="AV1025" s="68"/>
      <c r="AW1025" s="68"/>
      <c r="AX1025" s="68"/>
      <c r="AY1025" s="68"/>
    </row>
    <row r="1026" spans="1:51" ht="12.95" customHeight="1">
      <c r="A1026" s="14"/>
      <c r="B1026" s="73"/>
      <c r="C1026" s="74"/>
      <c r="D1026" s="1680"/>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833">
        <f>'Sources and Uses Budget'!C85</f>
        <v>4500500</v>
      </c>
      <c r="AG1026" s="1833"/>
      <c r="AH1026" s="1833"/>
      <c r="AI1026" s="1833"/>
      <c r="AJ1026" s="1799"/>
      <c r="AK1026" s="1800"/>
      <c r="AL1026" s="1800"/>
      <c r="AM1026" s="1800"/>
      <c r="AN1026" s="1800"/>
      <c r="AO1026" s="1800"/>
      <c r="AP1026" s="1800"/>
      <c r="AQ1026" s="1801"/>
      <c r="AR1026" s="68"/>
      <c r="AS1026" s="68"/>
      <c r="AT1026" s="68"/>
      <c r="AU1026" s="68"/>
      <c r="AV1026" s="68"/>
      <c r="AW1026" s="68"/>
      <c r="AX1026" s="68"/>
      <c r="AY1026" s="68"/>
    </row>
    <row r="1027" spans="1:51" ht="12.95" customHeight="1">
      <c r="A1027" s="14"/>
      <c r="B1027" s="85"/>
      <c r="C1027" s="84"/>
      <c r="D1027" s="1683"/>
      <c r="E1027" s="1684"/>
      <c r="F1027" s="1684"/>
      <c r="G1027" s="1684"/>
      <c r="H1027" s="1684"/>
      <c r="I1027" s="1684"/>
      <c r="J1027" s="1684"/>
      <c r="K1027" s="1684"/>
      <c r="L1027" s="1684"/>
      <c r="M1027" s="1684"/>
      <c r="N1027" s="1684"/>
      <c r="O1027" s="1684"/>
      <c r="P1027" s="1684"/>
      <c r="Q1027" s="1684"/>
      <c r="R1027" s="1684"/>
      <c r="S1027" s="1684"/>
      <c r="T1027" s="1684"/>
      <c r="U1027" s="1684"/>
      <c r="V1027" s="1684"/>
      <c r="W1027" s="1684"/>
      <c r="X1027" s="1684"/>
      <c r="Y1027" s="1684"/>
      <c r="Z1027" s="1684"/>
      <c r="AA1027" s="1684"/>
      <c r="AB1027" s="1684"/>
      <c r="AC1027" s="1684"/>
      <c r="AD1027" s="1684"/>
      <c r="AE1027" s="1685"/>
      <c r="AF1027" s="1833"/>
      <c r="AG1027" s="1833"/>
      <c r="AH1027" s="1833"/>
      <c r="AI1027" s="1833"/>
      <c r="AJ1027" s="1802"/>
      <c r="AK1027" s="1803"/>
      <c r="AL1027" s="1803"/>
      <c r="AM1027" s="1803"/>
      <c r="AN1027" s="1803"/>
      <c r="AO1027" s="1803"/>
      <c r="AP1027" s="1803"/>
      <c r="AQ1027" s="1804"/>
      <c r="AR1027" s="68"/>
      <c r="AS1027" s="68"/>
      <c r="AT1027" s="68"/>
      <c r="AU1027" s="68"/>
      <c r="AV1027" s="68"/>
      <c r="AW1027" s="68"/>
      <c r="AX1027" s="68"/>
      <c r="AY1027" s="68"/>
    </row>
    <row r="1028" spans="1:51" ht="12.95" customHeight="1">
      <c r="A1028" s="14"/>
      <c r="B1028" s="79"/>
      <c r="C1028" s="80" t="s">
        <v>235</v>
      </c>
      <c r="D1028" s="1775" t="s">
        <v>1407</v>
      </c>
      <c r="E1028" s="1776"/>
      <c r="F1028" s="1776"/>
      <c r="G1028" s="1776"/>
      <c r="H1028" s="1776"/>
      <c r="I1028" s="1776"/>
      <c r="J1028" s="1776"/>
      <c r="K1028" s="1776"/>
      <c r="L1028" s="1776"/>
      <c r="M1028" s="1776"/>
      <c r="N1028" s="1776"/>
      <c r="O1028" s="1776"/>
      <c r="P1028" s="1776"/>
      <c r="Q1028" s="1776"/>
      <c r="R1028" s="1776"/>
      <c r="S1028" s="1776"/>
      <c r="T1028" s="1776"/>
      <c r="U1028" s="1776"/>
      <c r="V1028" s="1776"/>
      <c r="W1028" s="1776"/>
      <c r="X1028" s="1776"/>
      <c r="Y1028" s="1776"/>
      <c r="Z1028" s="1776"/>
      <c r="AA1028" s="1776"/>
      <c r="AB1028" s="1776"/>
      <c r="AC1028" s="1776"/>
      <c r="AD1028" s="1776"/>
      <c r="AE1028" s="1777"/>
      <c r="AF1028" s="79"/>
      <c r="AG1028" s="1662" t="s">
        <v>678</v>
      </c>
      <c r="AH1028" s="1663"/>
      <c r="AI1028" s="87"/>
      <c r="AJ1028" s="1796">
        <f>ROUND(IF(AG1028="yes",(AJ991*0.1),0),0)</f>
        <v>0</v>
      </c>
      <c r="AK1028" s="1797"/>
      <c r="AL1028" s="1797"/>
      <c r="AM1028" s="1797"/>
      <c r="AN1028" s="1797"/>
      <c r="AO1028" s="1797"/>
      <c r="AP1028" s="1797"/>
      <c r="AQ1028" s="1798"/>
      <c r="AR1028" s="68"/>
      <c r="AS1028" s="68"/>
      <c r="AT1028" s="68"/>
      <c r="AU1028" s="68"/>
      <c r="AV1028" s="68"/>
      <c r="AW1028" s="68"/>
      <c r="AX1028" s="68"/>
      <c r="AY1028" s="68"/>
    </row>
    <row r="1029" spans="1:51" ht="12.95" customHeight="1">
      <c r="A1029" s="14"/>
      <c r="B1029" s="73"/>
      <c r="C1029" s="74"/>
      <c r="D1029" s="1680" t="s">
        <v>1408</v>
      </c>
      <c r="E1029" s="1681"/>
      <c r="F1029" s="1681"/>
      <c r="G1029" s="1681"/>
      <c r="H1029" s="1681"/>
      <c r="I1029" s="1681"/>
      <c r="J1029" s="1681"/>
      <c r="K1029" s="1681"/>
      <c r="L1029" s="1681"/>
      <c r="M1029" s="1681"/>
      <c r="N1029" s="1681"/>
      <c r="O1029" s="1681"/>
      <c r="P1029" s="1681"/>
      <c r="Q1029" s="1681"/>
      <c r="R1029" s="1681"/>
      <c r="S1029" s="1681"/>
      <c r="T1029" s="1681"/>
      <c r="U1029" s="1681"/>
      <c r="V1029" s="1681"/>
      <c r="W1029" s="1681"/>
      <c r="X1029" s="1681"/>
      <c r="Y1029" s="1681"/>
      <c r="Z1029" s="1681"/>
      <c r="AA1029" s="1681"/>
      <c r="AB1029" s="1681"/>
      <c r="AC1029" s="1681"/>
      <c r="AD1029" s="1681"/>
      <c r="AE1029" s="1682"/>
      <c r="AF1029" s="73"/>
      <c r="AG1029" s="14"/>
      <c r="AH1029" s="14"/>
      <c r="AI1029" s="83"/>
      <c r="AJ1029" s="1799"/>
      <c r="AK1029" s="1800"/>
      <c r="AL1029" s="1800"/>
      <c r="AM1029" s="1800"/>
      <c r="AN1029" s="1800"/>
      <c r="AO1029" s="1800"/>
      <c r="AP1029" s="1800"/>
      <c r="AQ1029" s="1801"/>
      <c r="AR1029" s="68"/>
      <c r="AS1029" s="68"/>
      <c r="AT1029" s="68"/>
      <c r="AU1029" s="68"/>
      <c r="AV1029" s="68"/>
      <c r="AW1029" s="68"/>
      <c r="AX1029" s="68"/>
      <c r="AY1029" s="68"/>
    </row>
    <row r="1030" spans="1:51" ht="12.95" customHeight="1">
      <c r="A1030" s="14"/>
      <c r="B1030" s="77"/>
      <c r="C1030" s="74"/>
      <c r="D1030" s="1683"/>
      <c r="E1030" s="1684"/>
      <c r="F1030" s="1684"/>
      <c r="G1030" s="1684"/>
      <c r="H1030" s="1684"/>
      <c r="I1030" s="1684"/>
      <c r="J1030" s="1684"/>
      <c r="K1030" s="1684"/>
      <c r="L1030" s="1684"/>
      <c r="M1030" s="1684"/>
      <c r="N1030" s="1684"/>
      <c r="O1030" s="1684"/>
      <c r="P1030" s="1684"/>
      <c r="Q1030" s="1684"/>
      <c r="R1030" s="1684"/>
      <c r="S1030" s="1684"/>
      <c r="T1030" s="1684"/>
      <c r="U1030" s="1684"/>
      <c r="V1030" s="1684"/>
      <c r="W1030" s="1684"/>
      <c r="X1030" s="1684"/>
      <c r="Y1030" s="1684"/>
      <c r="Z1030" s="1684"/>
      <c r="AA1030" s="1684"/>
      <c r="AB1030" s="1684"/>
      <c r="AC1030" s="1684"/>
      <c r="AD1030" s="1684"/>
      <c r="AE1030" s="1685"/>
      <c r="AF1030" s="73"/>
      <c r="AG1030" s="14"/>
      <c r="AH1030" s="14"/>
      <c r="AI1030" s="83"/>
      <c r="AJ1030" s="1802"/>
      <c r="AK1030" s="1803"/>
      <c r="AL1030" s="1803"/>
      <c r="AM1030" s="1803"/>
      <c r="AN1030" s="1803"/>
      <c r="AO1030" s="1803"/>
      <c r="AP1030" s="1803"/>
      <c r="AQ1030" s="1804"/>
      <c r="AR1030" s="68"/>
      <c r="AS1030" s="68"/>
      <c r="AT1030" s="68"/>
      <c r="AU1030" s="68"/>
      <c r="AV1030" s="68"/>
      <c r="AW1030" s="68"/>
      <c r="AX1030" s="68"/>
      <c r="AY1030" s="68"/>
    </row>
    <row r="1031" spans="1:51" ht="12.95" customHeight="1">
      <c r="A1031" s="14"/>
      <c r="B1031" s="73"/>
      <c r="C1031" s="367" t="s">
        <v>697</v>
      </c>
      <c r="D1031" s="1778" t="s">
        <v>1877</v>
      </c>
      <c r="E1031" s="1779"/>
      <c r="F1031" s="1779"/>
      <c r="G1031" s="1779"/>
      <c r="H1031" s="1779"/>
      <c r="I1031" s="1779"/>
      <c r="J1031" s="1779"/>
      <c r="K1031" s="1779"/>
      <c r="L1031" s="1779"/>
      <c r="M1031" s="1779"/>
      <c r="N1031" s="1779"/>
      <c r="O1031" s="1779"/>
      <c r="P1031" s="1779"/>
      <c r="Q1031" s="1779"/>
      <c r="R1031" s="1779"/>
      <c r="S1031" s="1779"/>
      <c r="T1031" s="1779"/>
      <c r="U1031" s="1779"/>
      <c r="V1031" s="1779"/>
      <c r="W1031" s="1779"/>
      <c r="X1031" s="1779"/>
      <c r="Y1031" s="1779"/>
      <c r="Z1031" s="1779"/>
      <c r="AA1031" s="1779"/>
      <c r="AB1031" s="1779"/>
      <c r="AC1031" s="1779"/>
      <c r="AD1031" s="1779"/>
      <c r="AE1031" s="1780"/>
      <c r="AF1031" s="79"/>
      <c r="AG1031" s="1662" t="s">
        <v>678</v>
      </c>
      <c r="AH1031" s="1663"/>
      <c r="AI1031" s="87"/>
      <c r="AJ1031" s="1796">
        <f>ROUND(IF(AG1031="yes",(AJ991*0.15),0),0)</f>
        <v>0</v>
      </c>
      <c r="AK1031" s="1797"/>
      <c r="AL1031" s="1797"/>
      <c r="AM1031" s="1797"/>
      <c r="AN1031" s="1797"/>
      <c r="AO1031" s="1797"/>
      <c r="AP1031" s="1797"/>
      <c r="AQ1031" s="1798"/>
      <c r="AR1031" s="68"/>
      <c r="AS1031" s="68"/>
      <c r="AT1031" s="68"/>
      <c r="AU1031" s="68"/>
      <c r="AV1031" s="68"/>
      <c r="AW1031" s="68"/>
      <c r="AX1031" s="68"/>
      <c r="AY1031" s="68"/>
    </row>
    <row r="1032" spans="1:51" ht="12.95" customHeight="1">
      <c r="A1032" s="14"/>
      <c r="B1032" s="73"/>
      <c r="C1032" s="74"/>
      <c r="D1032" s="1667"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8"/>
      <c r="AF1032" s="950"/>
      <c r="AG1032" s="951"/>
      <c r="AH1032" s="951"/>
      <c r="AI1032" s="952"/>
      <c r="AJ1032" s="1799"/>
      <c r="AK1032" s="1800"/>
      <c r="AL1032" s="1800"/>
      <c r="AM1032" s="1800"/>
      <c r="AN1032" s="1800"/>
      <c r="AO1032" s="1800"/>
      <c r="AP1032" s="1800"/>
      <c r="AQ1032" s="1801"/>
      <c r="AR1032" s="68"/>
      <c r="AS1032" s="68"/>
      <c r="AT1032" s="68"/>
      <c r="AU1032" s="68"/>
      <c r="AV1032" s="68"/>
      <c r="AW1032" s="68"/>
      <c r="AX1032" s="68"/>
      <c r="AY1032" s="68"/>
    </row>
    <row r="1033" spans="1:51" ht="12.95" customHeight="1">
      <c r="A1033" s="14"/>
      <c r="B1033" s="73"/>
      <c r="C1033" s="74"/>
      <c r="D1033" s="16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8"/>
      <c r="AF1033" s="950"/>
      <c r="AG1033" s="951"/>
      <c r="AH1033" s="951"/>
      <c r="AI1033" s="952"/>
      <c r="AJ1033" s="1799"/>
      <c r="AK1033" s="1800"/>
      <c r="AL1033" s="1800"/>
      <c r="AM1033" s="1800"/>
      <c r="AN1033" s="1800"/>
      <c r="AO1033" s="1800"/>
      <c r="AP1033" s="1800"/>
      <c r="AQ1033" s="1801"/>
      <c r="AR1033" s="68"/>
      <c r="AS1033" s="68"/>
      <c r="AT1033" s="68"/>
      <c r="AU1033" s="68"/>
      <c r="AV1033" s="68"/>
      <c r="AW1033" s="68"/>
      <c r="AX1033" s="68"/>
      <c r="AY1033" s="68"/>
    </row>
    <row r="1034" spans="1:51" ht="12.95" customHeight="1">
      <c r="A1034" s="14"/>
      <c r="B1034" s="73"/>
      <c r="C1034" s="74"/>
      <c r="D1034" s="1669"/>
      <c r="E1034" s="1670"/>
      <c r="F1034" s="1670"/>
      <c r="G1034" s="1670"/>
      <c r="H1034" s="1670"/>
      <c r="I1034" s="1670"/>
      <c r="J1034" s="1670"/>
      <c r="K1034" s="1670"/>
      <c r="L1034" s="1670"/>
      <c r="M1034" s="1670"/>
      <c r="N1034" s="1670"/>
      <c r="O1034" s="1670"/>
      <c r="P1034" s="1670"/>
      <c r="Q1034" s="1670"/>
      <c r="R1034" s="1670"/>
      <c r="S1034" s="1670"/>
      <c r="T1034" s="1670"/>
      <c r="U1034" s="1670"/>
      <c r="V1034" s="1670"/>
      <c r="W1034" s="1670"/>
      <c r="X1034" s="1670"/>
      <c r="Y1034" s="1670"/>
      <c r="Z1034" s="1670"/>
      <c r="AA1034" s="1670"/>
      <c r="AB1034" s="1670"/>
      <c r="AC1034" s="1670"/>
      <c r="AD1034" s="1670"/>
      <c r="AE1034" s="1671"/>
      <c r="AF1034" s="953"/>
      <c r="AG1034" s="954"/>
      <c r="AH1034" s="954"/>
      <c r="AI1034" s="955"/>
      <c r="AJ1034" s="1802"/>
      <c r="AK1034" s="1803"/>
      <c r="AL1034" s="1803"/>
      <c r="AM1034" s="1803"/>
      <c r="AN1034" s="1803"/>
      <c r="AO1034" s="1803"/>
      <c r="AP1034" s="1803"/>
      <c r="AQ1034" s="1804"/>
      <c r="AR1034" s="68"/>
      <c r="AS1034" s="68"/>
      <c r="AT1034" s="68"/>
      <c r="AU1034" s="68"/>
      <c r="AV1034" s="68"/>
      <c r="AW1034" s="68"/>
      <c r="AX1034" s="68"/>
      <c r="AY1034" s="68"/>
    </row>
    <row r="1035" spans="1:51" ht="12.95" customHeight="1">
      <c r="A1035" s="14"/>
      <c r="B1035" s="73"/>
      <c r="C1035" s="367" t="s">
        <v>697</v>
      </c>
      <c r="D1035" s="1775" t="s">
        <v>1879</v>
      </c>
      <c r="E1035" s="1776"/>
      <c r="F1035" s="1776"/>
      <c r="G1035" s="1776"/>
      <c r="H1035" s="1776"/>
      <c r="I1035" s="1776"/>
      <c r="J1035" s="1776"/>
      <c r="K1035" s="1776"/>
      <c r="L1035" s="1776"/>
      <c r="M1035" s="1776"/>
      <c r="N1035" s="1776"/>
      <c r="O1035" s="1776"/>
      <c r="P1035" s="1776"/>
      <c r="Q1035" s="1776"/>
      <c r="R1035" s="1776"/>
      <c r="S1035" s="1776"/>
      <c r="T1035" s="1776"/>
      <c r="U1035" s="1776"/>
      <c r="V1035" s="1776"/>
      <c r="W1035" s="1776"/>
      <c r="X1035" s="1776"/>
      <c r="Y1035" s="1776"/>
      <c r="Z1035" s="1776"/>
      <c r="AA1035" s="1776"/>
      <c r="AB1035" s="1776"/>
      <c r="AC1035" s="1776"/>
      <c r="AD1035" s="1776"/>
      <c r="AE1035" s="1777"/>
      <c r="AF1035" s="73"/>
      <c r="AG1035" s="1678" t="s">
        <v>678</v>
      </c>
      <c r="AH1035" s="1679"/>
      <c r="AI1035" s="83"/>
      <c r="AJ1035" s="1796">
        <f>ROUND(IF(AND(AG1035="yes",AJ1031=0),(AJ991*0.1),0),0)</f>
        <v>0</v>
      </c>
      <c r="AK1035" s="1797"/>
      <c r="AL1035" s="1797"/>
      <c r="AM1035" s="1797"/>
      <c r="AN1035" s="1797"/>
      <c r="AO1035" s="1797"/>
      <c r="AP1035" s="1797"/>
      <c r="AQ1035" s="1798"/>
      <c r="AR1035" s="68"/>
      <c r="AS1035" s="68"/>
      <c r="AT1035" s="68"/>
      <c r="AU1035" s="68"/>
      <c r="AV1035" s="68"/>
      <c r="AW1035" s="68"/>
      <c r="AX1035" s="68"/>
      <c r="AY1035" s="68"/>
    </row>
    <row r="1036" spans="1:51" ht="12.95" customHeight="1">
      <c r="A1036" s="14"/>
      <c r="B1036" s="73"/>
      <c r="C1036" s="74"/>
      <c r="D1036" s="1667"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8"/>
      <c r="AF1036" s="73"/>
      <c r="AG1036" s="14"/>
      <c r="AH1036" s="14"/>
      <c r="AI1036" s="83"/>
      <c r="AJ1036" s="1799"/>
      <c r="AK1036" s="1800"/>
      <c r="AL1036" s="1800"/>
      <c r="AM1036" s="1800"/>
      <c r="AN1036" s="1800"/>
      <c r="AO1036" s="1800"/>
      <c r="AP1036" s="1800"/>
      <c r="AQ1036" s="1801"/>
      <c r="AR1036" s="68"/>
      <c r="AS1036" s="68"/>
      <c r="AT1036" s="68"/>
      <c r="AU1036" s="68"/>
      <c r="AV1036" s="68"/>
      <c r="AW1036" s="68"/>
      <c r="AX1036" s="68"/>
      <c r="AY1036" s="68"/>
    </row>
    <row r="1037" spans="1:51" ht="12.95" customHeight="1">
      <c r="A1037" s="14"/>
      <c r="B1037" s="73"/>
      <c r="C1037" s="74"/>
      <c r="D1037" s="16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8"/>
      <c r="AF1037" s="73"/>
      <c r="AG1037" s="14"/>
      <c r="AH1037" s="14"/>
      <c r="AI1037" s="83"/>
      <c r="AJ1037" s="1799"/>
      <c r="AK1037" s="1800"/>
      <c r="AL1037" s="1800"/>
      <c r="AM1037" s="1800"/>
      <c r="AN1037" s="1800"/>
      <c r="AO1037" s="1800"/>
      <c r="AP1037" s="1800"/>
      <c r="AQ1037" s="1801"/>
      <c r="AR1037" s="68"/>
      <c r="AS1037" s="68"/>
      <c r="AT1037" s="68"/>
      <c r="AU1037" s="68"/>
      <c r="AV1037" s="68"/>
      <c r="AW1037" s="68"/>
      <c r="AX1037" s="68"/>
      <c r="AY1037" s="68"/>
    </row>
    <row r="1038" spans="1:51" ht="12.95" customHeight="1">
      <c r="A1038" s="14"/>
      <c r="B1038" s="73"/>
      <c r="C1038" s="74"/>
      <c r="D1038" s="16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8"/>
      <c r="AF1038" s="73"/>
      <c r="AG1038" s="14"/>
      <c r="AH1038" s="14"/>
      <c r="AI1038" s="83"/>
      <c r="AJ1038" s="1799"/>
      <c r="AK1038" s="1800"/>
      <c r="AL1038" s="1800"/>
      <c r="AM1038" s="1800"/>
      <c r="AN1038" s="1800"/>
      <c r="AO1038" s="1800"/>
      <c r="AP1038" s="1800"/>
      <c r="AQ1038" s="1801"/>
      <c r="AR1038" s="68"/>
      <c r="AS1038" s="68"/>
      <c r="AT1038" s="68"/>
      <c r="AU1038" s="68"/>
      <c r="AV1038" s="68"/>
      <c r="AW1038" s="68"/>
      <c r="AX1038" s="68"/>
      <c r="AY1038" s="68"/>
    </row>
    <row r="1039" spans="1:51" ht="12.95" customHeight="1">
      <c r="A1039" s="14"/>
      <c r="B1039" s="73"/>
      <c r="C1039" s="74"/>
      <c r="D1039" s="1669"/>
      <c r="E1039" s="1670"/>
      <c r="F1039" s="1670"/>
      <c r="G1039" s="1670"/>
      <c r="H1039" s="1670"/>
      <c r="I1039" s="1670"/>
      <c r="J1039" s="1670"/>
      <c r="K1039" s="1670"/>
      <c r="L1039" s="1670"/>
      <c r="M1039" s="1670"/>
      <c r="N1039" s="1670"/>
      <c r="O1039" s="1670"/>
      <c r="P1039" s="1670"/>
      <c r="Q1039" s="1670"/>
      <c r="R1039" s="1670"/>
      <c r="S1039" s="1670"/>
      <c r="T1039" s="1670"/>
      <c r="U1039" s="1670"/>
      <c r="V1039" s="1670"/>
      <c r="W1039" s="1670"/>
      <c r="X1039" s="1670"/>
      <c r="Y1039" s="1670"/>
      <c r="Z1039" s="1670"/>
      <c r="AA1039" s="1670"/>
      <c r="AB1039" s="1670"/>
      <c r="AC1039" s="1670"/>
      <c r="AD1039" s="1670"/>
      <c r="AE1039" s="1671"/>
      <c r="AF1039" s="73"/>
      <c r="AG1039" s="14"/>
      <c r="AH1039" s="14"/>
      <c r="AI1039" s="83"/>
      <c r="AJ1039" s="1799"/>
      <c r="AK1039" s="1800"/>
      <c r="AL1039" s="1800"/>
      <c r="AM1039" s="1800"/>
      <c r="AN1039" s="1800"/>
      <c r="AO1039" s="1800"/>
      <c r="AP1039" s="1800"/>
      <c r="AQ1039" s="1801"/>
      <c r="AR1039" s="68"/>
      <c r="AS1039" s="68"/>
      <c r="AT1039" s="68"/>
      <c r="AU1039" s="68"/>
      <c r="AV1039" s="68"/>
      <c r="AW1039" s="68"/>
      <c r="AX1039" s="68"/>
      <c r="AY1039" s="68"/>
    </row>
    <row r="1040" spans="1:51" ht="12.95" customHeight="1">
      <c r="A1040" s="14"/>
      <c r="B1040" s="79"/>
      <c r="C1040" s="131" t="s">
        <v>1035</v>
      </c>
      <c r="D1040" s="1778" t="s">
        <v>1409</v>
      </c>
      <c r="E1040" s="1779"/>
      <c r="F1040" s="1779"/>
      <c r="G1040" s="1779"/>
      <c r="H1040" s="1779"/>
      <c r="I1040" s="1779"/>
      <c r="J1040" s="1779"/>
      <c r="K1040" s="1779"/>
      <c r="L1040" s="1779"/>
      <c r="M1040" s="1779"/>
      <c r="N1040" s="1779"/>
      <c r="O1040" s="1779"/>
      <c r="P1040" s="1779"/>
      <c r="Q1040" s="1779"/>
      <c r="R1040" s="1779"/>
      <c r="S1040" s="1779"/>
      <c r="T1040" s="1779"/>
      <c r="U1040" s="1779"/>
      <c r="V1040" s="1779"/>
      <c r="W1040" s="1779"/>
      <c r="X1040" s="1779"/>
      <c r="Y1040" s="1779"/>
      <c r="Z1040" s="1779"/>
      <c r="AA1040" s="1779"/>
      <c r="AB1040" s="1779"/>
      <c r="AC1040" s="1779"/>
      <c r="AD1040" s="1779"/>
      <c r="AE1040" s="1780"/>
      <c r="AF1040" s="79"/>
      <c r="AG1040" s="1662" t="s">
        <v>678</v>
      </c>
      <c r="AH1040" s="1663"/>
      <c r="AI1040" s="87"/>
      <c r="AJ1040" s="1796">
        <f>ROUND(IF(AG1040="yes",(AJ991*0.1),0),0)</f>
        <v>0</v>
      </c>
      <c r="AK1040" s="1797"/>
      <c r="AL1040" s="1797"/>
      <c r="AM1040" s="1797"/>
      <c r="AN1040" s="1797"/>
      <c r="AO1040" s="1797"/>
      <c r="AP1040" s="1797"/>
      <c r="AQ1040" s="1798"/>
      <c r="AR1040" s="68"/>
      <c r="AS1040" s="68"/>
      <c r="AT1040" s="68"/>
      <c r="AU1040" s="68"/>
      <c r="AV1040" s="68"/>
      <c r="AW1040" s="68"/>
      <c r="AX1040" s="68"/>
      <c r="AY1040" s="68"/>
    </row>
    <row r="1041" spans="1:51" ht="12.95" customHeight="1">
      <c r="A1041" s="14"/>
      <c r="B1041" s="73"/>
      <c r="C1041" s="74"/>
      <c r="D1041" s="1680" t="s">
        <v>2501</v>
      </c>
      <c r="E1041" s="1681"/>
      <c r="F1041" s="1681"/>
      <c r="G1041" s="1681"/>
      <c r="H1041" s="1681"/>
      <c r="I1041" s="1681"/>
      <c r="J1041" s="1681"/>
      <c r="K1041" s="1681"/>
      <c r="L1041" s="1681"/>
      <c r="M1041" s="1681"/>
      <c r="N1041" s="1681"/>
      <c r="O1041" s="1681"/>
      <c r="P1041" s="1681"/>
      <c r="Q1041" s="1681"/>
      <c r="R1041" s="1681"/>
      <c r="S1041" s="1681"/>
      <c r="T1041" s="1681"/>
      <c r="U1041" s="1681"/>
      <c r="V1041" s="1681"/>
      <c r="W1041" s="1681"/>
      <c r="X1041" s="1681"/>
      <c r="Y1041" s="1681"/>
      <c r="Z1041" s="1681"/>
      <c r="AA1041" s="1681"/>
      <c r="AB1041" s="1681"/>
      <c r="AC1041" s="1681"/>
      <c r="AD1041" s="1681"/>
      <c r="AE1041" s="1682"/>
      <c r="AF1041" s="73"/>
      <c r="AG1041" s="14"/>
      <c r="AH1041" s="14"/>
      <c r="AI1041" s="83"/>
      <c r="AJ1041" s="1799"/>
      <c r="AK1041" s="1800"/>
      <c r="AL1041" s="1800"/>
      <c r="AM1041" s="1800"/>
      <c r="AN1041" s="1800"/>
      <c r="AO1041" s="1800"/>
      <c r="AP1041" s="1800"/>
      <c r="AQ1041" s="1801"/>
      <c r="AR1041" s="68"/>
      <c r="AS1041" s="68"/>
      <c r="AT1041" s="68"/>
      <c r="AU1041" s="68"/>
      <c r="AV1041" s="68"/>
      <c r="AW1041" s="68"/>
      <c r="AX1041" s="68"/>
      <c r="AY1041" s="68"/>
    </row>
    <row r="1042" spans="1:51" ht="12.95" customHeight="1">
      <c r="A1042" s="14"/>
      <c r="B1042" s="73"/>
      <c r="C1042" s="74"/>
      <c r="D1042" s="1680"/>
      <c r="E1042" s="1681"/>
      <c r="F1042" s="1681"/>
      <c r="G1042" s="1681"/>
      <c r="H1042" s="1681"/>
      <c r="I1042" s="1681"/>
      <c r="J1042" s="1681"/>
      <c r="K1042" s="1681"/>
      <c r="L1042" s="1681"/>
      <c r="M1042" s="1681"/>
      <c r="N1042" s="1681"/>
      <c r="O1042" s="1681"/>
      <c r="P1042" s="1681"/>
      <c r="Q1042" s="1681"/>
      <c r="R1042" s="1681"/>
      <c r="S1042" s="1681"/>
      <c r="T1042" s="1681"/>
      <c r="U1042" s="1681"/>
      <c r="V1042" s="1681"/>
      <c r="W1042" s="1681"/>
      <c r="X1042" s="1681"/>
      <c r="Y1042" s="1681"/>
      <c r="Z1042" s="1681"/>
      <c r="AA1042" s="1681"/>
      <c r="AB1042" s="1681"/>
      <c r="AC1042" s="1681"/>
      <c r="AD1042" s="1681"/>
      <c r="AE1042" s="1682"/>
      <c r="AF1042" s="73"/>
      <c r="AG1042" s="14"/>
      <c r="AH1042" s="14"/>
      <c r="AI1042" s="83"/>
      <c r="AJ1042" s="1799"/>
      <c r="AK1042" s="1800"/>
      <c r="AL1042" s="1800"/>
      <c r="AM1042" s="1800"/>
      <c r="AN1042" s="1800"/>
      <c r="AO1042" s="1800"/>
      <c r="AP1042" s="1800"/>
      <c r="AQ1042" s="1801"/>
      <c r="AR1042" s="68"/>
      <c r="AS1042" s="68"/>
      <c r="AT1042" s="68"/>
      <c r="AU1042" s="68"/>
      <c r="AV1042" s="68"/>
      <c r="AW1042" s="68"/>
      <c r="AX1042" s="68"/>
      <c r="AY1042" s="68"/>
    </row>
    <row r="1043" spans="1:51" ht="12.95" customHeight="1">
      <c r="A1043" s="14"/>
      <c r="B1043" s="73"/>
      <c r="C1043" s="74"/>
      <c r="D1043" s="1683"/>
      <c r="E1043" s="1684"/>
      <c r="F1043" s="1684"/>
      <c r="G1043" s="1684"/>
      <c r="H1043" s="1684"/>
      <c r="I1043" s="1684"/>
      <c r="J1043" s="1684"/>
      <c r="K1043" s="1684"/>
      <c r="L1043" s="1684"/>
      <c r="M1043" s="1684"/>
      <c r="N1043" s="1684"/>
      <c r="O1043" s="1684"/>
      <c r="P1043" s="1684"/>
      <c r="Q1043" s="1684"/>
      <c r="R1043" s="1684"/>
      <c r="S1043" s="1684"/>
      <c r="T1043" s="1684"/>
      <c r="U1043" s="1684"/>
      <c r="V1043" s="1684"/>
      <c r="W1043" s="1684"/>
      <c r="X1043" s="1684"/>
      <c r="Y1043" s="1684"/>
      <c r="Z1043" s="1684"/>
      <c r="AA1043" s="1684"/>
      <c r="AB1043" s="1684"/>
      <c r="AC1043" s="1684"/>
      <c r="AD1043" s="1684"/>
      <c r="AE1043" s="1685"/>
      <c r="AF1043" s="73"/>
      <c r="AG1043" s="14"/>
      <c r="AH1043" s="14"/>
      <c r="AI1043" s="83"/>
      <c r="AJ1043" s="1802"/>
      <c r="AK1043" s="1803"/>
      <c r="AL1043" s="1803"/>
      <c r="AM1043" s="1803"/>
      <c r="AN1043" s="1803"/>
      <c r="AO1043" s="1803"/>
      <c r="AP1043" s="1803"/>
      <c r="AQ1043" s="1804"/>
      <c r="AR1043" s="68"/>
      <c r="AS1043" s="68"/>
      <c r="AT1043" s="68"/>
      <c r="AU1043" s="68"/>
      <c r="AV1043" s="68"/>
      <c r="AW1043" s="68"/>
      <c r="AX1043" s="68"/>
      <c r="AY1043" s="68"/>
    </row>
    <row r="1044" spans="1:51" ht="12.95" customHeight="1">
      <c r="A1044" s="14"/>
      <c r="B1044" s="79"/>
      <c r="C1044" s="131" t="s">
        <v>1875</v>
      </c>
      <c r="D1044" s="1775" t="s">
        <v>2057</v>
      </c>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79"/>
      <c r="AG1044" s="1794" t="str">
        <f>IF(X1047&gt;0,"Yes","No")</f>
        <v>Yes</v>
      </c>
      <c r="AH1044" s="1795"/>
      <c r="AI1044" s="87"/>
      <c r="AJ1044" s="1796">
        <f>IF((X1047=0),0,AY1004*AJ991)</f>
        <v>17505628.84</v>
      </c>
      <c r="AK1044" s="1797"/>
      <c r="AL1044" s="1797"/>
      <c r="AM1044" s="1797"/>
      <c r="AN1044" s="1797"/>
      <c r="AO1044" s="1797"/>
      <c r="AP1044" s="1797"/>
      <c r="AQ1044" s="1798"/>
      <c r="AR1044" s="68"/>
      <c r="AS1044" s="68"/>
      <c r="AT1044" s="68"/>
      <c r="AU1044" s="68"/>
      <c r="AV1044" s="68"/>
      <c r="AW1044" s="68"/>
      <c r="AX1044" s="68"/>
      <c r="AY1044" s="68"/>
    </row>
    <row r="1045" spans="1:51" ht="12.95" customHeight="1">
      <c r="A1045" s="14"/>
      <c r="B1045" s="73"/>
      <c r="C1045" s="476"/>
      <c r="D1045" s="1680" t="s">
        <v>1411</v>
      </c>
      <c r="E1045" s="1681"/>
      <c r="F1045" s="1681"/>
      <c r="G1045" s="1681"/>
      <c r="H1045" s="1681"/>
      <c r="I1045" s="1681"/>
      <c r="J1045" s="1681"/>
      <c r="K1045" s="1681"/>
      <c r="L1045" s="1681"/>
      <c r="M1045" s="1681"/>
      <c r="N1045" s="1681"/>
      <c r="O1045" s="1681"/>
      <c r="P1045" s="1681"/>
      <c r="Q1045" s="1681"/>
      <c r="R1045" s="1681"/>
      <c r="S1045" s="1681"/>
      <c r="T1045" s="1681"/>
      <c r="U1045" s="1681"/>
      <c r="V1045" s="1681"/>
      <c r="W1045" s="1681"/>
      <c r="X1045" s="1681"/>
      <c r="Y1045" s="1681"/>
      <c r="Z1045" s="1681"/>
      <c r="AA1045" s="1681"/>
      <c r="AB1045" s="1681"/>
      <c r="AC1045" s="1681"/>
      <c r="AD1045" s="1681"/>
      <c r="AE1045" s="1682"/>
      <c r="AF1045" s="73"/>
      <c r="AG1045" s="477"/>
      <c r="AH1045" s="477"/>
      <c r="AI1045" s="83"/>
      <c r="AJ1045" s="1799"/>
      <c r="AK1045" s="1800"/>
      <c r="AL1045" s="1800"/>
      <c r="AM1045" s="1800"/>
      <c r="AN1045" s="1800"/>
      <c r="AO1045" s="1800"/>
      <c r="AP1045" s="1800"/>
      <c r="AQ1045" s="1801"/>
      <c r="AR1045" s="68"/>
      <c r="AS1045" s="68"/>
      <c r="AT1045" s="68"/>
      <c r="AU1045" s="13"/>
      <c r="AV1045" s="68"/>
      <c r="AW1045" s="68"/>
      <c r="AX1045" s="68"/>
      <c r="AY1045" s="68"/>
    </row>
    <row r="1046" spans="1:51" ht="12.95" customHeight="1">
      <c r="A1046" s="14"/>
      <c r="B1046" s="73"/>
      <c r="C1046" s="476"/>
      <c r="D1046" s="1680"/>
      <c r="E1046" s="1681"/>
      <c r="F1046" s="1681"/>
      <c r="G1046" s="1681"/>
      <c r="H1046" s="1681"/>
      <c r="I1046" s="1681"/>
      <c r="J1046" s="1681"/>
      <c r="K1046" s="1681"/>
      <c r="L1046" s="1681"/>
      <c r="M1046" s="1681"/>
      <c r="N1046" s="1681"/>
      <c r="O1046" s="1681"/>
      <c r="P1046" s="1681"/>
      <c r="Q1046" s="1681"/>
      <c r="R1046" s="1681"/>
      <c r="S1046" s="1681"/>
      <c r="T1046" s="1681"/>
      <c r="U1046" s="1681"/>
      <c r="V1046" s="1681"/>
      <c r="W1046" s="1681"/>
      <c r="X1046" s="1681"/>
      <c r="Y1046" s="1681"/>
      <c r="Z1046" s="1681"/>
      <c r="AA1046" s="1681"/>
      <c r="AB1046" s="1681"/>
      <c r="AC1046" s="1681"/>
      <c r="AD1046" s="1681"/>
      <c r="AE1046" s="1682"/>
      <c r="AF1046" s="73"/>
      <c r="AG1046" s="477"/>
      <c r="AH1046" s="477"/>
      <c r="AI1046" s="83"/>
      <c r="AJ1046" s="1799"/>
      <c r="AK1046" s="1800"/>
      <c r="AL1046" s="1800"/>
      <c r="AM1046" s="1800"/>
      <c r="AN1046" s="1800"/>
      <c r="AO1046" s="1800"/>
      <c r="AP1046" s="1800"/>
      <c r="AQ1046" s="1801"/>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92">
        <f>AY1002</f>
        <v>189</v>
      </c>
      <c r="J1047" s="1793"/>
      <c r="K1047" s="7"/>
      <c r="L1047" s="133"/>
      <c r="M1047" s="133"/>
      <c r="N1047" s="133"/>
      <c r="O1047" s="133"/>
      <c r="P1047" s="133"/>
      <c r="Q1047" s="133"/>
      <c r="R1047" s="133"/>
      <c r="S1047" s="133"/>
      <c r="T1047" s="133"/>
      <c r="U1047" s="133"/>
      <c r="V1047" s="134" t="s">
        <v>993</v>
      </c>
      <c r="W1047" s="48"/>
      <c r="X1047" s="1790">
        <f>BG632</f>
        <v>27</v>
      </c>
      <c r="Y1047" s="1791"/>
      <c r="Z1047" s="48"/>
      <c r="AA1047" s="48"/>
      <c r="AB1047" s="48"/>
      <c r="AC1047" s="48"/>
      <c r="AD1047" s="48"/>
      <c r="AE1047" s="49"/>
      <c r="AF1047" s="959"/>
      <c r="AG1047" s="960"/>
      <c r="AH1047" s="960"/>
      <c r="AI1047" s="961"/>
      <c r="AJ1047" s="1802"/>
      <c r="AK1047" s="1803"/>
      <c r="AL1047" s="1803"/>
      <c r="AM1047" s="1803"/>
      <c r="AN1047" s="1803"/>
      <c r="AO1047" s="1803"/>
      <c r="AP1047" s="1803"/>
      <c r="AQ1047" s="1804"/>
      <c r="AR1047" s="68"/>
      <c r="AS1047" s="68"/>
      <c r="AT1047" s="68"/>
      <c r="AU1047" s="14"/>
      <c r="AV1047" s="68"/>
      <c r="AW1047" s="68"/>
      <c r="AX1047" s="68"/>
      <c r="AY1047" s="68"/>
    </row>
    <row r="1048" spans="1:51" ht="12.95" customHeight="1">
      <c r="A1048" s="14"/>
      <c r="B1048" s="79"/>
      <c r="C1048" s="131" t="s">
        <v>1876</v>
      </c>
      <c r="D1048" s="1778" t="s">
        <v>2532</v>
      </c>
      <c r="E1048" s="1779"/>
      <c r="F1048" s="1779"/>
      <c r="G1048" s="1779"/>
      <c r="H1048" s="1779"/>
      <c r="I1048" s="1779"/>
      <c r="J1048" s="1779"/>
      <c r="K1048" s="1779"/>
      <c r="L1048" s="1779"/>
      <c r="M1048" s="1779"/>
      <c r="N1048" s="1779"/>
      <c r="O1048" s="1779"/>
      <c r="P1048" s="1779"/>
      <c r="Q1048" s="1779"/>
      <c r="R1048" s="1779"/>
      <c r="S1048" s="1779"/>
      <c r="T1048" s="1779"/>
      <c r="U1048" s="1779"/>
      <c r="V1048" s="1779"/>
      <c r="W1048" s="1779"/>
      <c r="X1048" s="1779"/>
      <c r="Y1048" s="1779"/>
      <c r="Z1048" s="1779"/>
      <c r="AA1048" s="1779"/>
      <c r="AB1048" s="1779"/>
      <c r="AC1048" s="1779"/>
      <c r="AD1048" s="1779"/>
      <c r="AE1048" s="1780"/>
      <c r="AF1048" s="73"/>
      <c r="AG1048" s="1794" t="str">
        <f>IF(X1051&gt;0,"Yes","No")</f>
        <v>Yes</v>
      </c>
      <c r="AH1048" s="1795"/>
      <c r="AI1048" s="83"/>
      <c r="AJ1048" s="1796">
        <f>IF((X1051=0),0,(2*AY1005)*AJ991)</f>
        <v>27508845.32</v>
      </c>
      <c r="AK1048" s="1797"/>
      <c r="AL1048" s="1797"/>
      <c r="AM1048" s="1797"/>
      <c r="AN1048" s="1797"/>
      <c r="AO1048" s="1797"/>
      <c r="AP1048" s="1797"/>
      <c r="AQ1048" s="1798"/>
      <c r="AR1048" s="68"/>
      <c r="AS1048" s="68"/>
      <c r="AT1048" s="68"/>
      <c r="AU1048" s="14"/>
      <c r="AV1048" s="68"/>
      <c r="AW1048" s="68"/>
      <c r="AX1048" s="68"/>
      <c r="AY1048" s="68"/>
    </row>
    <row r="1049" spans="1:51" ht="12.95" customHeight="1">
      <c r="A1049" s="14"/>
      <c r="B1049" s="73"/>
      <c r="C1049" s="476"/>
      <c r="D1049" s="1680" t="s">
        <v>1410</v>
      </c>
      <c r="E1049" s="1681"/>
      <c r="F1049" s="1681"/>
      <c r="G1049" s="1681"/>
      <c r="H1049" s="1681"/>
      <c r="I1049" s="1681"/>
      <c r="J1049" s="1681"/>
      <c r="K1049" s="1681"/>
      <c r="L1049" s="1681"/>
      <c r="M1049" s="1681"/>
      <c r="N1049" s="1681"/>
      <c r="O1049" s="1681"/>
      <c r="P1049" s="1681"/>
      <c r="Q1049" s="1681"/>
      <c r="R1049" s="1681"/>
      <c r="S1049" s="1681"/>
      <c r="T1049" s="1681"/>
      <c r="U1049" s="1681"/>
      <c r="V1049" s="1681"/>
      <c r="W1049" s="1681"/>
      <c r="X1049" s="1681"/>
      <c r="Y1049" s="1681"/>
      <c r="Z1049" s="1681"/>
      <c r="AA1049" s="1681"/>
      <c r="AB1049" s="1681"/>
      <c r="AC1049" s="1681"/>
      <c r="AD1049" s="1681"/>
      <c r="AE1049" s="1682"/>
      <c r="AF1049" s="73"/>
      <c r="AG1049" s="477"/>
      <c r="AH1049" s="477"/>
      <c r="AI1049" s="83"/>
      <c r="AJ1049" s="1799"/>
      <c r="AK1049" s="1800"/>
      <c r="AL1049" s="1800"/>
      <c r="AM1049" s="1800"/>
      <c r="AN1049" s="1800"/>
      <c r="AO1049" s="1800"/>
      <c r="AP1049" s="1800"/>
      <c r="AQ1049" s="1801"/>
      <c r="AR1049" s="68"/>
      <c r="AS1049" s="68"/>
      <c r="AT1049" s="68"/>
      <c r="AU1049" s="68"/>
      <c r="AV1049" s="68"/>
      <c r="AW1049" s="68"/>
      <c r="AX1049" s="68"/>
      <c r="AY1049" s="68"/>
    </row>
    <row r="1050" spans="1:51" ht="12.95" customHeight="1">
      <c r="A1050" s="14"/>
      <c r="B1050" s="73"/>
      <c r="C1050" s="83"/>
      <c r="D1050" s="1680"/>
      <c r="E1050" s="1681"/>
      <c r="F1050" s="1681"/>
      <c r="G1050" s="1681"/>
      <c r="H1050" s="1681"/>
      <c r="I1050" s="1681"/>
      <c r="J1050" s="1681"/>
      <c r="K1050" s="1681"/>
      <c r="L1050" s="1681"/>
      <c r="M1050" s="1681"/>
      <c r="N1050" s="1681"/>
      <c r="O1050" s="1681"/>
      <c r="P1050" s="1681"/>
      <c r="Q1050" s="1681"/>
      <c r="R1050" s="1681"/>
      <c r="S1050" s="1681"/>
      <c r="T1050" s="1681"/>
      <c r="U1050" s="1681"/>
      <c r="V1050" s="1681"/>
      <c r="W1050" s="1681"/>
      <c r="X1050" s="1681"/>
      <c r="Y1050" s="1681"/>
      <c r="Z1050" s="1681"/>
      <c r="AA1050" s="1681"/>
      <c r="AB1050" s="1681"/>
      <c r="AC1050" s="1681"/>
      <c r="AD1050" s="1681"/>
      <c r="AE1050" s="1682"/>
      <c r="AF1050" s="956"/>
      <c r="AG1050" s="957"/>
      <c r="AH1050" s="957"/>
      <c r="AI1050" s="958"/>
      <c r="AJ1050" s="1799"/>
      <c r="AK1050" s="1800"/>
      <c r="AL1050" s="1800"/>
      <c r="AM1050" s="1800"/>
      <c r="AN1050" s="1800"/>
      <c r="AO1050" s="1800"/>
      <c r="AP1050" s="1800"/>
      <c r="AQ1050" s="1801"/>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92">
        <f>AY1002</f>
        <v>189</v>
      </c>
      <c r="J1051" s="1793"/>
      <c r="K1051" s="14"/>
      <c r="L1051" s="133"/>
      <c r="M1051" s="133"/>
      <c r="N1051" s="133"/>
      <c r="O1051" s="133"/>
      <c r="P1051" s="133"/>
      <c r="Q1051" s="133"/>
      <c r="R1051" s="133"/>
      <c r="S1051" s="133"/>
      <c r="T1051" s="133"/>
      <c r="U1051" s="133"/>
      <c r="V1051" s="134" t="s">
        <v>994</v>
      </c>
      <c r="X1051" s="1790">
        <f>BK632</f>
        <v>22</v>
      </c>
      <c r="Y1051" s="1791"/>
      <c r="AF1051" s="959"/>
      <c r="AG1051" s="960"/>
      <c r="AH1051" s="960"/>
      <c r="AI1051" s="961"/>
      <c r="AJ1051" s="1802"/>
      <c r="AK1051" s="1803"/>
      <c r="AL1051" s="1803"/>
      <c r="AM1051" s="1803"/>
      <c r="AN1051" s="1803"/>
      <c r="AO1051" s="1803"/>
      <c r="AP1051" s="1803"/>
      <c r="AQ1051" s="1804"/>
      <c r="AR1051" s="68"/>
      <c r="AS1051" s="68"/>
      <c r="AT1051" s="68"/>
      <c r="AU1051" s="68"/>
      <c r="AV1051" s="68"/>
      <c r="AW1051" s="68"/>
      <c r="AX1051" s="68"/>
      <c r="AY1051" s="68"/>
    </row>
    <row r="1052" spans="1:51" ht="12.95" customHeight="1">
      <c r="A1052" s="14"/>
      <c r="B1052" s="102"/>
      <c r="C1052" s="103"/>
      <c r="D1052" s="1788" t="s">
        <v>522</v>
      </c>
      <c r="E1052" s="1788"/>
      <c r="F1052" s="1788"/>
      <c r="G1052" s="1788"/>
      <c r="H1052" s="1788"/>
      <c r="I1052" s="1788"/>
      <c r="J1052" s="1788"/>
      <c r="K1052" s="1788"/>
      <c r="L1052" s="1788"/>
      <c r="M1052" s="1788"/>
      <c r="N1052" s="1788"/>
      <c r="O1052" s="1788"/>
      <c r="P1052" s="1788"/>
      <c r="Q1052" s="1788"/>
      <c r="R1052" s="1788"/>
      <c r="S1052" s="1788"/>
      <c r="T1052" s="1788"/>
      <c r="U1052" s="1788"/>
      <c r="V1052" s="1788"/>
      <c r="W1052" s="1788"/>
      <c r="X1052" s="1788"/>
      <c r="Y1052" s="1788"/>
      <c r="Z1052" s="1788"/>
      <c r="AA1052" s="1788"/>
      <c r="AB1052" s="1788"/>
      <c r="AC1052" s="1788"/>
      <c r="AD1052" s="1788"/>
      <c r="AE1052" s="1788"/>
      <c r="AF1052" s="1788"/>
      <c r="AG1052" s="1788"/>
      <c r="AH1052" s="1788"/>
      <c r="AI1052" s="1789"/>
      <c r="AJ1052" s="1689">
        <f>SUM(AJ991:AQ1051)</f>
        <v>174555180.16</v>
      </c>
      <c r="AK1052" s="1690"/>
      <c r="AL1052" s="1690"/>
      <c r="AM1052" s="1690"/>
      <c r="AN1052" s="1690"/>
      <c r="AO1052" s="1690"/>
      <c r="AP1052" s="1690"/>
      <c r="AQ1052" s="169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CC655:CG655"/>
    <mergeCell ref="CH655:CL655"/>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5" workbookViewId="0">
      <selection activeCell="I105" activeCellId="1" sqref="E105 I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1)CalHFA - Perm Loan</v>
      </c>
      <c r="G2" s="139" t="str">
        <f>Application!B628&amp;Application!C628</f>
        <v>2)CalHFA - MIP</v>
      </c>
      <c r="H2" s="139" t="str">
        <f>Application!B629&amp;Application!C629</f>
        <v>3)Deferred Developer Fee</v>
      </c>
      <c r="I2" s="139" t="str">
        <f>Application!B630&amp;Application!C630</f>
        <v>4)WNC - Solar Equity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3440000</v>
      </c>
      <c r="C4" s="147">
        <v>3440000</v>
      </c>
      <c r="D4" s="147"/>
      <c r="E4" s="147"/>
      <c r="F4" s="147">
        <f>C4</f>
        <v>3440000</v>
      </c>
      <c r="G4" s="147"/>
      <c r="H4" s="147"/>
      <c r="I4" s="147"/>
      <c r="J4" s="147"/>
      <c r="K4" s="147"/>
      <c r="L4" s="147"/>
      <c r="M4" s="147"/>
      <c r="N4" s="147"/>
      <c r="O4" s="147"/>
      <c r="P4" s="147"/>
      <c r="Q4" s="147"/>
      <c r="R4" s="550">
        <f>SUM(E4:Q4)</f>
        <v>3440000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50000</v>
      </c>
      <c r="C6" s="147">
        <v>50000</v>
      </c>
      <c r="D6" s="147"/>
      <c r="E6" s="147"/>
      <c r="F6" s="147">
        <f>C6</f>
        <v>50000</v>
      </c>
      <c r="G6" s="147"/>
      <c r="H6" s="147"/>
      <c r="I6" s="147"/>
      <c r="J6" s="147"/>
      <c r="K6" s="147"/>
      <c r="L6" s="147"/>
      <c r="M6" s="147"/>
      <c r="N6" s="147"/>
      <c r="O6" s="147"/>
      <c r="P6" s="147"/>
      <c r="Q6" s="147"/>
      <c r="R6" s="550">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3490000</v>
      </c>
      <c r="C8" s="146">
        <f t="shared" ref="C8:Q8" si="0">SUM(C4:C7)</f>
        <v>3490000</v>
      </c>
      <c r="D8" s="146">
        <f t="shared" si="0"/>
        <v>0</v>
      </c>
      <c r="E8" s="146">
        <f t="shared" si="0"/>
        <v>0</v>
      </c>
      <c r="F8" s="146">
        <f t="shared" si="0"/>
        <v>3490000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3490000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3490000</v>
      </c>
      <c r="C12" s="146">
        <f t="shared" si="2"/>
        <v>3490000</v>
      </c>
      <c r="D12" s="146">
        <f t="shared" si="2"/>
        <v>0</v>
      </c>
      <c r="E12" s="146">
        <f t="shared" si="2"/>
        <v>0</v>
      </c>
      <c r="F12" s="146">
        <f t="shared" si="2"/>
        <v>3490000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3490000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8754167</v>
      </c>
      <c r="C29" s="147">
        <v>8754167</v>
      </c>
      <c r="D29" s="147"/>
      <c r="E29" s="147">
        <f>C29</f>
        <v>8754167</v>
      </c>
      <c r="F29" s="147"/>
      <c r="G29" s="147"/>
      <c r="H29" s="147"/>
      <c r="I29" s="147"/>
      <c r="J29" s="147"/>
      <c r="K29" s="147"/>
      <c r="L29" s="147"/>
      <c r="M29" s="147"/>
      <c r="N29" s="147"/>
      <c r="O29" s="147"/>
      <c r="P29" s="147"/>
      <c r="Q29" s="147"/>
      <c r="R29" s="550">
        <f t="shared" ref="R29:R37" si="7">SUM(E29:Q29)</f>
        <v>8754167</v>
      </c>
      <c r="S29" s="147">
        <f>C29</f>
        <v>8754167</v>
      </c>
      <c r="T29" s="147"/>
      <c r="U29" s="143"/>
    </row>
    <row r="30" spans="1:21" s="144" customFormat="1">
      <c r="A30" s="145" t="s">
        <v>608</v>
      </c>
      <c r="B30" s="146">
        <f t="shared" si="6"/>
        <v>27797390</v>
      </c>
      <c r="C30" s="147">
        <f>25897390+1900000</f>
        <v>27797390</v>
      </c>
      <c r="D30" s="147"/>
      <c r="E30" s="147">
        <f>24017539-97+258139+28843-59000</f>
        <v>24245424</v>
      </c>
      <c r="F30" s="147">
        <f>C30-E30-I30</f>
        <v>3067466</v>
      </c>
      <c r="G30" s="147"/>
      <c r="H30" s="147"/>
      <c r="I30" s="147">
        <f>I108</f>
        <v>484500</v>
      </c>
      <c r="J30" s="147"/>
      <c r="K30" s="147"/>
      <c r="L30" s="147"/>
      <c r="M30" s="147"/>
      <c r="N30" s="147"/>
      <c r="O30" s="147"/>
      <c r="P30" s="147"/>
      <c r="Q30" s="147"/>
      <c r="R30" s="550">
        <f t="shared" si="7"/>
        <v>27797390</v>
      </c>
      <c r="S30" s="147">
        <f>C30-1900000</f>
        <v>25897390</v>
      </c>
      <c r="T30" s="147"/>
      <c r="U30" s="143"/>
    </row>
    <row r="31" spans="1:21" s="144" customFormat="1">
      <c r="A31" s="145" t="s">
        <v>609</v>
      </c>
      <c r="B31" s="146">
        <f t="shared" si="6"/>
        <v>2401003</v>
      </c>
      <c r="C31" s="147">
        <v>2401003</v>
      </c>
      <c r="D31" s="147"/>
      <c r="E31" s="147"/>
      <c r="F31" s="147">
        <f>C31-E31</f>
        <v>2401003</v>
      </c>
      <c r="G31" s="147"/>
      <c r="H31" s="147"/>
      <c r="I31" s="147"/>
      <c r="J31" s="147"/>
      <c r="K31" s="147"/>
      <c r="L31" s="147"/>
      <c r="M31" s="147"/>
      <c r="N31" s="147"/>
      <c r="O31" s="147"/>
      <c r="P31" s="147"/>
      <c r="Q31" s="147"/>
      <c r="R31" s="550">
        <f t="shared" si="7"/>
        <v>2401003</v>
      </c>
      <c r="S31" s="147">
        <f>C31</f>
        <v>2401003</v>
      </c>
      <c r="T31" s="147"/>
      <c r="U31" s="143"/>
    </row>
    <row r="32" spans="1:21" s="144" customFormat="1">
      <c r="A32" s="145" t="s">
        <v>137</v>
      </c>
      <c r="B32" s="146">
        <f t="shared" si="6"/>
        <v>500000</v>
      </c>
      <c r="C32" s="147">
        <v>500000</v>
      </c>
      <c r="D32" s="147"/>
      <c r="E32" s="147"/>
      <c r="F32" s="147">
        <f>C32-E32</f>
        <v>500000</v>
      </c>
      <c r="G32" s="147"/>
      <c r="H32" s="147"/>
      <c r="I32" s="147"/>
      <c r="J32" s="147"/>
      <c r="K32" s="147"/>
      <c r="L32" s="147"/>
      <c r="M32" s="147"/>
      <c r="N32" s="147"/>
      <c r="O32" s="147"/>
      <c r="P32" s="147"/>
      <c r="Q32" s="147"/>
      <c r="R32" s="550">
        <f t="shared" si="7"/>
        <v>500000</v>
      </c>
      <c r="S32" s="147">
        <f>C32</f>
        <v>500000</v>
      </c>
      <c r="T32" s="147"/>
      <c r="U32" s="143"/>
    </row>
    <row r="33" spans="1:21" s="144" customFormat="1">
      <c r="A33" s="145" t="s">
        <v>138</v>
      </c>
      <c r="B33" s="146">
        <f t="shared" si="6"/>
        <v>2000836</v>
      </c>
      <c r="C33" s="147">
        <v>2000836</v>
      </c>
      <c r="D33" s="147"/>
      <c r="E33" s="147"/>
      <c r="F33" s="147">
        <f>C33-E33</f>
        <v>2000836</v>
      </c>
      <c r="G33" s="147"/>
      <c r="H33" s="147"/>
      <c r="I33" s="147"/>
      <c r="J33" s="147"/>
      <c r="K33" s="147"/>
      <c r="L33" s="147"/>
      <c r="M33" s="147"/>
      <c r="N33" s="147"/>
      <c r="O33" s="147"/>
      <c r="P33" s="147"/>
      <c r="Q33" s="147"/>
      <c r="R33" s="550">
        <f t="shared" si="7"/>
        <v>2000836</v>
      </c>
      <c r="S33" s="147">
        <f>C33</f>
        <v>2000836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350000</v>
      </c>
      <c r="C35" s="147">
        <v>350000</v>
      </c>
      <c r="D35" s="147"/>
      <c r="E35" s="147"/>
      <c r="F35" s="147">
        <f>C35-E35</f>
        <v>350000</v>
      </c>
      <c r="G35" s="147"/>
      <c r="H35" s="147"/>
      <c r="I35" s="147"/>
      <c r="J35" s="147"/>
      <c r="K35" s="147"/>
      <c r="L35" s="147"/>
      <c r="M35" s="147"/>
      <c r="N35" s="147"/>
      <c r="O35" s="147"/>
      <c r="P35" s="147"/>
      <c r="Q35" s="147"/>
      <c r="R35" s="550">
        <f t="shared" si="7"/>
        <v>350000</v>
      </c>
      <c r="S35" s="147">
        <f>C35</f>
        <v>350000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2755</v>
      </c>
      <c r="B37" s="146">
        <f t="shared" si="6"/>
        <v>450000</v>
      </c>
      <c r="C37" s="147">
        <v>450000</v>
      </c>
      <c r="D37" s="147"/>
      <c r="E37" s="147"/>
      <c r="F37" s="147">
        <f>C37-E37</f>
        <v>450000</v>
      </c>
      <c r="G37" s="147"/>
      <c r="H37" s="147"/>
      <c r="I37" s="147"/>
      <c r="J37" s="147"/>
      <c r="K37" s="147"/>
      <c r="L37" s="147"/>
      <c r="M37" s="147"/>
      <c r="N37" s="147"/>
      <c r="O37" s="147"/>
      <c r="P37" s="147"/>
      <c r="Q37" s="147"/>
      <c r="R37" s="550">
        <f t="shared" si="7"/>
        <v>450000</v>
      </c>
      <c r="S37" s="147">
        <f>C37</f>
        <v>450000</v>
      </c>
      <c r="T37" s="147"/>
      <c r="U37" s="143"/>
    </row>
    <row r="38" spans="1:21" s="144" customFormat="1">
      <c r="A38" s="149" t="s">
        <v>143</v>
      </c>
      <c r="B38" s="146">
        <f t="shared" si="6"/>
        <v>42253396</v>
      </c>
      <c r="C38" s="146">
        <f>SUM(C29:C37)</f>
        <v>42253396</v>
      </c>
      <c r="D38" s="146">
        <f t="shared" ref="D38:Q38" si="8">SUM(D29:D37)</f>
        <v>0</v>
      </c>
      <c r="E38" s="146">
        <f t="shared" si="8"/>
        <v>32999591</v>
      </c>
      <c r="F38" s="146">
        <f t="shared" si="8"/>
        <v>8769305</v>
      </c>
      <c r="G38" s="146">
        <f t="shared" si="8"/>
        <v>0</v>
      </c>
      <c r="H38" s="146">
        <f t="shared" si="8"/>
        <v>0</v>
      </c>
      <c r="I38" s="146">
        <f t="shared" si="8"/>
        <v>484500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42253396</v>
      </c>
      <c r="S38" s="150">
        <f>SUM(S29:S37)</f>
        <v>40353396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425000</v>
      </c>
      <c r="C40" s="147">
        <v>425000</v>
      </c>
      <c r="D40" s="147"/>
      <c r="E40" s="147"/>
      <c r="F40" s="147">
        <f>C40-E40</f>
        <v>425000</v>
      </c>
      <c r="G40" s="147"/>
      <c r="H40" s="147"/>
      <c r="I40" s="147"/>
      <c r="J40" s="147"/>
      <c r="K40" s="147"/>
      <c r="L40" s="147"/>
      <c r="M40" s="147"/>
      <c r="N40" s="147"/>
      <c r="O40" s="147"/>
      <c r="P40" s="147"/>
      <c r="Q40" s="147"/>
      <c r="R40" s="550">
        <f>SUM(E40:Q40)</f>
        <v>425000</v>
      </c>
      <c r="S40" s="147">
        <f>C40</f>
        <v>425000</v>
      </c>
      <c r="T40" s="147"/>
      <c r="U40" s="143"/>
    </row>
    <row r="41" spans="1:21" s="144" customFormat="1">
      <c r="A41" s="145" t="s">
        <v>146</v>
      </c>
      <c r="B41" s="146">
        <f>SUM(C41+D41)</f>
        <v>425000</v>
      </c>
      <c r="C41" s="147">
        <v>425000</v>
      </c>
      <c r="D41" s="147"/>
      <c r="E41" s="147"/>
      <c r="F41" s="147">
        <f>C41-E41</f>
        <v>425000</v>
      </c>
      <c r="G41" s="147"/>
      <c r="H41" s="147"/>
      <c r="I41" s="147"/>
      <c r="J41" s="147"/>
      <c r="K41" s="147"/>
      <c r="L41" s="147"/>
      <c r="M41" s="147"/>
      <c r="N41" s="147"/>
      <c r="O41" s="147"/>
      <c r="P41" s="147"/>
      <c r="Q41" s="147"/>
      <c r="R41" s="550">
        <f>SUM(E41:Q41)</f>
        <v>425000</v>
      </c>
      <c r="S41" s="147">
        <f>C41</f>
        <v>425000</v>
      </c>
      <c r="T41" s="147"/>
      <c r="U41" s="143"/>
    </row>
    <row r="42" spans="1:21" s="144" customFormat="1">
      <c r="A42" s="149" t="s">
        <v>147</v>
      </c>
      <c r="B42" s="146">
        <f>SUM(C42:D42)</f>
        <v>850000</v>
      </c>
      <c r="C42" s="146">
        <f>SUM(C39:C41)</f>
        <v>850000</v>
      </c>
      <c r="D42" s="146">
        <f>SUM(D39:D41)</f>
        <v>0</v>
      </c>
      <c r="E42" s="146">
        <f t="shared" ref="E42:T42" si="9">SUM(E40:E41)</f>
        <v>0</v>
      </c>
      <c r="F42" s="146">
        <f t="shared" si="9"/>
        <v>850000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850000</v>
      </c>
      <c r="S42" s="150">
        <f t="shared" si="9"/>
        <v>850000</v>
      </c>
      <c r="T42" s="150">
        <f t="shared" si="9"/>
        <v>0</v>
      </c>
      <c r="U42" s="143"/>
    </row>
    <row r="43" spans="1:21" s="144" customFormat="1">
      <c r="A43" s="149" t="s">
        <v>148</v>
      </c>
      <c r="B43" s="146">
        <f>SUM(C43:D43)</f>
        <v>750000</v>
      </c>
      <c r="C43" s="147">
        <v>750000</v>
      </c>
      <c r="D43" s="147"/>
      <c r="E43" s="147"/>
      <c r="F43" s="147">
        <f>C43-E43</f>
        <v>750000</v>
      </c>
      <c r="G43" s="147"/>
      <c r="H43" s="147"/>
      <c r="I43" s="147"/>
      <c r="J43" s="147"/>
      <c r="K43" s="147"/>
      <c r="L43" s="147"/>
      <c r="M43" s="147"/>
      <c r="N43" s="147"/>
      <c r="O43" s="147"/>
      <c r="P43" s="147"/>
      <c r="Q43" s="147"/>
      <c r="R43" s="550">
        <f>SUM(E43:Q43)</f>
        <v>750000</v>
      </c>
      <c r="S43" s="147">
        <f>C43</f>
        <v>750000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3800000</v>
      </c>
      <c r="C45" s="147">
        <v>3800000</v>
      </c>
      <c r="D45" s="147"/>
      <c r="E45" s="147"/>
      <c r="F45" s="147">
        <f>C45-E45</f>
        <v>3800000</v>
      </c>
      <c r="G45" s="147"/>
      <c r="H45" s="147"/>
      <c r="I45" s="147"/>
      <c r="J45" s="147"/>
      <c r="K45" s="147"/>
      <c r="L45" s="147"/>
      <c r="M45" s="147"/>
      <c r="N45" s="147"/>
      <c r="O45" s="147"/>
      <c r="P45" s="147"/>
      <c r="Q45" s="147"/>
      <c r="R45" s="550">
        <f t="shared" ref="R45:R53" si="11">SUM(E45:Q45)</f>
        <v>3800000</v>
      </c>
      <c r="S45" s="147">
        <v>3000000</v>
      </c>
      <c r="T45" s="147"/>
      <c r="U45" s="143"/>
    </row>
    <row r="46" spans="1:21" s="144" customFormat="1">
      <c r="A46" s="145" t="s">
        <v>151</v>
      </c>
      <c r="B46" s="146">
        <f t="shared" si="10"/>
        <v>475000</v>
      </c>
      <c r="C46" s="147">
        <v>475000</v>
      </c>
      <c r="D46" s="147"/>
      <c r="E46" s="147"/>
      <c r="F46" s="147">
        <f>C46-E46</f>
        <v>475000</v>
      </c>
      <c r="G46" s="147"/>
      <c r="H46" s="147"/>
      <c r="I46" s="147"/>
      <c r="J46" s="147"/>
      <c r="K46" s="147"/>
      <c r="L46" s="147"/>
      <c r="M46" s="147"/>
      <c r="N46" s="147"/>
      <c r="O46" s="147"/>
      <c r="P46" s="147"/>
      <c r="Q46" s="147"/>
      <c r="R46" s="550">
        <f t="shared" si="11"/>
        <v>475000</v>
      </c>
      <c r="S46" s="147">
        <f>C46</f>
        <v>475000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100000</v>
      </c>
      <c r="C50" s="147">
        <v>100000</v>
      </c>
      <c r="D50" s="147"/>
      <c r="E50" s="147"/>
      <c r="F50" s="147">
        <f t="shared" ref="F50:F53" si="12">C50-E50</f>
        <v>100000</v>
      </c>
      <c r="G50" s="147"/>
      <c r="H50" s="147"/>
      <c r="I50" s="147"/>
      <c r="J50" s="147"/>
      <c r="K50" s="147"/>
      <c r="L50" s="147"/>
      <c r="M50" s="147"/>
      <c r="N50" s="147"/>
      <c r="O50" s="147"/>
      <c r="P50" s="147"/>
      <c r="Q50" s="147"/>
      <c r="R50" s="550">
        <f t="shared" si="11"/>
        <v>100000</v>
      </c>
      <c r="S50" s="147">
        <f>C50</f>
        <v>100000</v>
      </c>
      <c r="T50" s="147"/>
      <c r="U50" s="143"/>
    </row>
    <row r="51" spans="1:21" s="144" customFormat="1">
      <c r="A51" s="304" t="s">
        <v>154</v>
      </c>
      <c r="B51" s="146">
        <f t="shared" si="10"/>
        <v>100000</v>
      </c>
      <c r="C51" s="147">
        <v>100000</v>
      </c>
      <c r="D51" s="147"/>
      <c r="E51" s="147"/>
      <c r="F51" s="147">
        <f t="shared" si="12"/>
        <v>100000</v>
      </c>
      <c r="G51" s="147"/>
      <c r="H51" s="147"/>
      <c r="I51" s="147"/>
      <c r="J51" s="147"/>
      <c r="K51" s="147"/>
      <c r="L51" s="147"/>
      <c r="M51" s="147"/>
      <c r="N51" s="147"/>
      <c r="O51" s="147"/>
      <c r="P51" s="147"/>
      <c r="Q51" s="147"/>
      <c r="R51" s="550">
        <f t="shared" si="11"/>
        <v>100000</v>
      </c>
      <c r="S51" s="147">
        <f>C51</f>
        <v>100000</v>
      </c>
      <c r="T51" s="147"/>
      <c r="U51" s="143"/>
    </row>
    <row r="52" spans="1:21" s="144" customFormat="1">
      <c r="A52" s="145" t="s">
        <v>155</v>
      </c>
      <c r="B52" s="146">
        <f t="shared" si="10"/>
        <v>85000</v>
      </c>
      <c r="C52" s="147">
        <v>85000</v>
      </c>
      <c r="D52" s="147"/>
      <c r="E52" s="147"/>
      <c r="F52" s="147">
        <f t="shared" si="12"/>
        <v>85000</v>
      </c>
      <c r="G52" s="147"/>
      <c r="H52" s="147"/>
      <c r="I52" s="147"/>
      <c r="J52" s="147"/>
      <c r="K52" s="147"/>
      <c r="L52" s="147"/>
      <c r="M52" s="147"/>
      <c r="N52" s="147"/>
      <c r="O52" s="147"/>
      <c r="P52" s="147"/>
      <c r="Q52" s="147"/>
      <c r="R52" s="550">
        <f t="shared" si="11"/>
        <v>85000</v>
      </c>
      <c r="S52" s="147">
        <f>C52</f>
        <v>85000</v>
      </c>
      <c r="T52" s="147"/>
      <c r="U52" s="143"/>
    </row>
    <row r="53" spans="1:21" s="144" customFormat="1">
      <c r="A53" s="1193" t="s">
        <v>2756</v>
      </c>
      <c r="B53" s="146">
        <f t="shared" si="10"/>
        <v>91000</v>
      </c>
      <c r="C53" s="147">
        <v>91000</v>
      </c>
      <c r="D53" s="147"/>
      <c r="E53" s="147"/>
      <c r="F53" s="147">
        <f t="shared" si="12"/>
        <v>91000</v>
      </c>
      <c r="G53" s="147"/>
      <c r="H53" s="147"/>
      <c r="I53" s="147"/>
      <c r="J53" s="147"/>
      <c r="K53" s="147"/>
      <c r="L53" s="147"/>
      <c r="M53" s="147"/>
      <c r="N53" s="147"/>
      <c r="O53" s="147"/>
      <c r="P53" s="147"/>
      <c r="Q53" s="147"/>
      <c r="R53" s="550">
        <f t="shared" si="11"/>
        <v>91000</v>
      </c>
      <c r="S53" s="147">
        <f>C53</f>
        <v>91000</v>
      </c>
      <c r="T53" s="147"/>
      <c r="U53" s="143"/>
    </row>
    <row r="54" spans="1:21" s="153" customFormat="1">
      <c r="A54" s="149" t="s">
        <v>157</v>
      </c>
      <c r="B54" s="150">
        <f>SUM(C54:D54)</f>
        <v>4651000</v>
      </c>
      <c r="C54" s="150">
        <f t="shared" ref="C54:T54" si="13">SUM(C45:C53)</f>
        <v>4651000</v>
      </c>
      <c r="D54" s="150">
        <f t="shared" si="13"/>
        <v>0</v>
      </c>
      <c r="E54" s="150">
        <f t="shared" si="13"/>
        <v>0</v>
      </c>
      <c r="F54" s="150">
        <f t="shared" si="13"/>
        <v>4651000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4651000</v>
      </c>
      <c r="S54" s="150">
        <f t="shared" si="13"/>
        <v>3851000</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443500</v>
      </c>
      <c r="C56" s="147">
        <v>443500</v>
      </c>
      <c r="D56" s="147"/>
      <c r="E56" s="147"/>
      <c r="F56" s="147">
        <f>C56-E56</f>
        <v>443500</v>
      </c>
      <c r="G56" s="147"/>
      <c r="H56" s="147"/>
      <c r="I56" s="147"/>
      <c r="J56" s="147"/>
      <c r="K56" s="147"/>
      <c r="L56" s="147"/>
      <c r="M56" s="147"/>
      <c r="N56" s="147"/>
      <c r="O56" s="147"/>
      <c r="P56" s="147"/>
      <c r="Q56" s="147"/>
      <c r="R56" s="550">
        <f t="shared" ref="R56:R61" si="15">SUM(E56:Q56)</f>
        <v>443500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2758</v>
      </c>
      <c r="B61" s="146">
        <f t="shared" si="14"/>
        <v>130250</v>
      </c>
      <c r="C61" s="147">
        <f>10000+100000+11250+9000</f>
        <v>130250</v>
      </c>
      <c r="D61" s="147"/>
      <c r="E61" s="147"/>
      <c r="F61" s="147">
        <f>C61-E61</f>
        <v>130250</v>
      </c>
      <c r="G61" s="147"/>
      <c r="H61" s="147"/>
      <c r="I61" s="147"/>
      <c r="J61" s="147"/>
      <c r="K61" s="147"/>
      <c r="L61" s="147"/>
      <c r="M61" s="147"/>
      <c r="N61" s="147"/>
      <c r="O61" s="147"/>
      <c r="P61" s="147"/>
      <c r="Q61" s="147"/>
      <c r="R61" s="550">
        <f t="shared" si="15"/>
        <v>130250</v>
      </c>
      <c r="S61" s="148"/>
      <c r="T61" s="148"/>
      <c r="U61" s="143"/>
    </row>
    <row r="62" spans="1:21" s="144" customFormat="1" ht="13.7" customHeight="1">
      <c r="A62" s="149" t="s">
        <v>302</v>
      </c>
      <c r="B62" s="146">
        <f>SUM(C62:D62)</f>
        <v>573750</v>
      </c>
      <c r="C62" s="146">
        <f t="shared" ref="C62:R62" si="16">SUM(C56:C61)</f>
        <v>573750</v>
      </c>
      <c r="D62" s="146">
        <f t="shared" si="16"/>
        <v>0</v>
      </c>
      <c r="E62" s="146">
        <f t="shared" si="16"/>
        <v>0</v>
      </c>
      <c r="F62" s="146">
        <f t="shared" si="16"/>
        <v>573750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573750</v>
      </c>
      <c r="S62" s="148"/>
      <c r="T62" s="148"/>
      <c r="U62" s="143"/>
    </row>
    <row r="63" spans="1:21" s="144" customFormat="1">
      <c r="A63" s="154" t="s">
        <v>303</v>
      </c>
      <c r="B63" s="146">
        <f t="shared" ref="B63:R63" si="17">SUM(B8+B11+B13+B14+B15+B26+B27+B38+B42+B43+B54+B62)</f>
        <v>52568146</v>
      </c>
      <c r="C63" s="146">
        <f t="shared" si="17"/>
        <v>52568146</v>
      </c>
      <c r="D63" s="146">
        <f t="shared" si="17"/>
        <v>0</v>
      </c>
      <c r="E63" s="146">
        <f t="shared" si="17"/>
        <v>32999591</v>
      </c>
      <c r="F63" s="146">
        <f t="shared" si="17"/>
        <v>19084055</v>
      </c>
      <c r="G63" s="146">
        <f t="shared" si="17"/>
        <v>0</v>
      </c>
      <c r="H63" s="146">
        <f t="shared" si="17"/>
        <v>0</v>
      </c>
      <c r="I63" s="146">
        <f t="shared" si="17"/>
        <v>484500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52568146</v>
      </c>
      <c r="S63" s="146">
        <f>SUM(S10+S13+S14+S15+S26+S27+S38+S42+S43+S54)</f>
        <v>45804396</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140000</v>
      </c>
      <c r="C65" s="147">
        <f>50000+45000+45000</f>
        <v>140000</v>
      </c>
      <c r="D65" s="147"/>
      <c r="E65" s="147"/>
      <c r="F65" s="147">
        <f t="shared" ref="F65:F66" si="18">C65-E65</f>
        <v>140000</v>
      </c>
      <c r="G65" s="147"/>
      <c r="H65" s="147"/>
      <c r="I65" s="147"/>
      <c r="J65" s="147"/>
      <c r="K65" s="147"/>
      <c r="L65" s="147"/>
      <c r="M65" s="147"/>
      <c r="N65" s="147"/>
      <c r="O65" s="147"/>
      <c r="P65" s="147"/>
      <c r="Q65" s="147"/>
      <c r="R65" s="550">
        <f>SUM(E65:Q65)</f>
        <v>140000</v>
      </c>
      <c r="S65" s="147">
        <f>C65</f>
        <v>140000</v>
      </c>
      <c r="T65" s="147"/>
      <c r="U65" s="143"/>
    </row>
    <row r="66" spans="1:21" s="144" customFormat="1" ht="24" customHeight="1">
      <c r="A66" s="304" t="s">
        <v>1755</v>
      </c>
      <c r="B66" s="146">
        <f>SUM(C66+D66)</f>
        <v>50000</v>
      </c>
      <c r="C66" s="147">
        <v>50000</v>
      </c>
      <c r="D66" s="147"/>
      <c r="E66" s="147"/>
      <c r="F66" s="147">
        <f t="shared" si="18"/>
        <v>50000</v>
      </c>
      <c r="G66" s="147"/>
      <c r="H66" s="147"/>
      <c r="I66" s="147"/>
      <c r="J66" s="147"/>
      <c r="K66" s="147"/>
      <c r="L66" s="147"/>
      <c r="M66" s="147"/>
      <c r="N66" s="147"/>
      <c r="O66" s="147"/>
      <c r="P66" s="147"/>
      <c r="Q66" s="147"/>
      <c r="R66" s="550">
        <f>SUM(E66:Q66)</f>
        <v>50000</v>
      </c>
      <c r="S66" s="147">
        <f>C66</f>
        <v>50000</v>
      </c>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2757</v>
      </c>
      <c r="B69" s="146">
        <f>SUM(C69+D69)</f>
        <v>455000</v>
      </c>
      <c r="C69" s="147">
        <f>200000+300000+25000-70000</f>
        <v>455000</v>
      </c>
      <c r="D69" s="147"/>
      <c r="E69" s="147"/>
      <c r="F69" s="147">
        <f>C69-E69</f>
        <v>455000</v>
      </c>
      <c r="G69" s="147"/>
      <c r="H69" s="147"/>
      <c r="I69" s="147"/>
      <c r="J69" s="147"/>
      <c r="K69" s="147"/>
      <c r="L69" s="147"/>
      <c r="M69" s="147"/>
      <c r="N69" s="147"/>
      <c r="O69" s="147"/>
      <c r="P69" s="147"/>
      <c r="Q69" s="147"/>
      <c r="R69" s="550">
        <f>SUM(E69:Q69)</f>
        <v>455000</v>
      </c>
      <c r="S69" s="147">
        <f>C69-150000-25000+70000</f>
        <v>350000</v>
      </c>
      <c r="T69" s="147"/>
      <c r="U69" s="143"/>
    </row>
    <row r="70" spans="1:21" s="144" customFormat="1">
      <c r="A70" s="149" t="s">
        <v>1759</v>
      </c>
      <c r="B70" s="146">
        <f>SUM(C70:D70)</f>
        <v>645000</v>
      </c>
      <c r="C70" s="146">
        <f>SUM(C65:C69)</f>
        <v>645000</v>
      </c>
      <c r="D70" s="146">
        <f>SUM(D65:D69)</f>
        <v>0</v>
      </c>
      <c r="E70" s="146">
        <f t="shared" ref="E70:T70" si="19">SUM(E65:E69)</f>
        <v>0</v>
      </c>
      <c r="F70" s="146">
        <f t="shared" si="19"/>
        <v>645000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645000</v>
      </c>
      <c r="S70" s="150">
        <f t="shared" si="19"/>
        <v>540000</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f>C72-E72</f>
        <v>0</v>
      </c>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1061398</v>
      </c>
      <c r="C75" s="147">
        <f>Application!AC886</f>
        <v>1061398</v>
      </c>
      <c r="D75" s="147"/>
      <c r="E75" s="147"/>
      <c r="F75" s="147">
        <f>C75-E75</f>
        <v>1061398</v>
      </c>
      <c r="G75" s="147"/>
      <c r="H75" s="147"/>
      <c r="I75" s="147"/>
      <c r="J75" s="147"/>
      <c r="K75" s="147"/>
      <c r="L75" s="147"/>
      <c r="M75" s="147"/>
      <c r="N75" s="147"/>
      <c r="O75" s="147"/>
      <c r="P75" s="147"/>
      <c r="Q75" s="147"/>
      <c r="R75" s="550">
        <f>SUM(E75:Q75)</f>
        <v>1061398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1061398</v>
      </c>
      <c r="C77" s="146">
        <f>SUM(C72:C76)</f>
        <v>1061398</v>
      </c>
      <c r="D77" s="146">
        <f>SUM(D72:D76)</f>
        <v>0</v>
      </c>
      <c r="E77" s="146">
        <f t="shared" ref="E77:Q77" si="20">SUM(E72:E76)</f>
        <v>0</v>
      </c>
      <c r="F77" s="146">
        <f t="shared" si="20"/>
        <v>1061398</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1061398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3465156</v>
      </c>
      <c r="C79" s="147">
        <f>875417+2589739</f>
        <v>3465156</v>
      </c>
      <c r="D79" s="147"/>
      <c r="E79" s="147"/>
      <c r="F79" s="147">
        <f>2861450+6391</f>
        <v>2867841</v>
      </c>
      <c r="G79" s="147">
        <f>C79-F79</f>
        <v>597315</v>
      </c>
      <c r="H79" s="147"/>
      <c r="I79" s="147"/>
      <c r="J79" s="147"/>
      <c r="K79" s="147"/>
      <c r="L79" s="147"/>
      <c r="M79" s="147"/>
      <c r="N79" s="147"/>
      <c r="O79" s="147"/>
      <c r="P79" s="147"/>
      <c r="Q79" s="147"/>
      <c r="R79" s="550">
        <f>SUM(E79:Q79)</f>
        <v>3465156</v>
      </c>
      <c r="S79" s="147">
        <f>C79</f>
        <v>3465156</v>
      </c>
      <c r="T79" s="147"/>
      <c r="U79" s="143"/>
    </row>
    <row r="80" spans="1:21" s="144" customFormat="1">
      <c r="A80" s="304" t="s">
        <v>58</v>
      </c>
      <c r="B80" s="146">
        <f>SUM(C80:D80)</f>
        <v>823891</v>
      </c>
      <c r="C80" s="147">
        <f>340000+477500+6391</f>
        <v>823891</v>
      </c>
      <c r="D80" s="147"/>
      <c r="E80" s="147"/>
      <c r="F80" s="147"/>
      <c r="G80" s="147">
        <f>C80</f>
        <v>823891</v>
      </c>
      <c r="H80" s="147"/>
      <c r="I80" s="147"/>
      <c r="J80" s="147"/>
      <c r="K80" s="147"/>
      <c r="L80" s="147"/>
      <c r="M80" s="147"/>
      <c r="N80" s="147"/>
      <c r="O80" s="147"/>
      <c r="P80" s="147"/>
      <c r="Q80" s="147"/>
      <c r="R80" s="550">
        <f>SUM(E80:Q80)</f>
        <v>823891</v>
      </c>
      <c r="S80" s="147">
        <f>C80-64884-6391</f>
        <v>752616</v>
      </c>
      <c r="T80" s="147"/>
      <c r="U80" s="143"/>
    </row>
    <row r="81" spans="1:21" s="144" customFormat="1">
      <c r="A81" s="149" t="s">
        <v>1316</v>
      </c>
      <c r="B81" s="146">
        <f>SUM(C81:D81)</f>
        <v>4289047</v>
      </c>
      <c r="C81" s="543">
        <f>SUM(C79:C80)</f>
        <v>4289047</v>
      </c>
      <c r="D81" s="543">
        <f t="shared" ref="D81:T81" si="21">SUM(D79:D80)</f>
        <v>0</v>
      </c>
      <c r="E81" s="543">
        <f t="shared" si="21"/>
        <v>0</v>
      </c>
      <c r="F81" s="543">
        <f t="shared" si="21"/>
        <v>2867841</v>
      </c>
      <c r="G81" s="543">
        <f t="shared" si="21"/>
        <v>1421206</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4289047</v>
      </c>
      <c r="S81" s="543">
        <f t="shared" si="21"/>
        <v>4217772</v>
      </c>
      <c r="T81" s="543">
        <f t="shared" si="2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2">SUM(C83+D83)</f>
        <v>170000</v>
      </c>
      <c r="C83" s="147">
        <f>100000+70000</f>
        <v>170000</v>
      </c>
      <c r="D83" s="147"/>
      <c r="E83" s="147"/>
      <c r="F83" s="147">
        <f>C83</f>
        <v>170000</v>
      </c>
      <c r="G83" s="147"/>
      <c r="H83" s="147"/>
      <c r="I83" s="147"/>
      <c r="J83" s="147"/>
      <c r="K83" s="147"/>
      <c r="L83" s="147"/>
      <c r="M83" s="147"/>
      <c r="N83" s="147"/>
      <c r="O83" s="147"/>
      <c r="P83" s="147"/>
      <c r="Q83" s="147"/>
      <c r="R83" s="550">
        <f t="shared" ref="R83:R95" si="23">SUM(E83:Q83)</f>
        <v>170000</v>
      </c>
      <c r="S83" s="148"/>
      <c r="T83" s="148"/>
      <c r="U83" s="143"/>
    </row>
    <row r="84" spans="1:21" s="144" customFormat="1">
      <c r="A84" s="145" t="s">
        <v>777</v>
      </c>
      <c r="B84" s="146">
        <f t="shared" si="22"/>
        <v>0</v>
      </c>
      <c r="C84" s="147"/>
      <c r="D84" s="147"/>
      <c r="E84" s="147"/>
      <c r="F84" s="147"/>
      <c r="G84" s="147"/>
      <c r="H84" s="147"/>
      <c r="I84" s="147"/>
      <c r="J84" s="147"/>
      <c r="K84" s="147"/>
      <c r="L84" s="147"/>
      <c r="M84" s="147"/>
      <c r="N84" s="147"/>
      <c r="O84" s="147"/>
      <c r="P84" s="147"/>
      <c r="Q84" s="147"/>
      <c r="R84" s="550">
        <f t="shared" si="23"/>
        <v>0</v>
      </c>
      <c r="S84" s="147"/>
      <c r="T84" s="147"/>
      <c r="U84" s="143"/>
    </row>
    <row r="85" spans="1:21" s="144" customFormat="1">
      <c r="A85" s="145" t="s">
        <v>778</v>
      </c>
      <c r="B85" s="146">
        <f t="shared" si="22"/>
        <v>4500500</v>
      </c>
      <c r="C85" s="147">
        <f>4775000+225500-C86</f>
        <v>4500500</v>
      </c>
      <c r="D85" s="147"/>
      <c r="E85" s="147">
        <v>200000</v>
      </c>
      <c r="F85" s="147">
        <f>C85-328794-F88</f>
        <v>4121706</v>
      </c>
      <c r="G85" s="147">
        <f>C85-F85-E85</f>
        <v>178794</v>
      </c>
      <c r="H85" s="147"/>
      <c r="I85" s="147"/>
      <c r="J85" s="147"/>
      <c r="K85" s="147"/>
      <c r="L85" s="147"/>
      <c r="M85" s="147"/>
      <c r="N85" s="147"/>
      <c r="O85" s="147"/>
      <c r="P85" s="147"/>
      <c r="Q85" s="147"/>
      <c r="R85" s="550">
        <f t="shared" si="23"/>
        <v>4500500</v>
      </c>
      <c r="S85" s="147">
        <f>C85</f>
        <v>4500500</v>
      </c>
      <c r="T85" s="147"/>
      <c r="U85" s="143"/>
    </row>
    <row r="86" spans="1:21" s="144" customFormat="1">
      <c r="A86" s="145" t="s">
        <v>779</v>
      </c>
      <c r="B86" s="146">
        <f t="shared" si="22"/>
        <v>500000</v>
      </c>
      <c r="C86" s="147">
        <v>500000</v>
      </c>
      <c r="D86" s="147"/>
      <c r="E86" s="147"/>
      <c r="F86" s="147">
        <f>C86</f>
        <v>500000</v>
      </c>
      <c r="G86" s="147"/>
      <c r="H86" s="147"/>
      <c r="I86" s="147"/>
      <c r="J86" s="147"/>
      <c r="K86" s="147"/>
      <c r="L86" s="147"/>
      <c r="M86" s="147"/>
      <c r="N86" s="147"/>
      <c r="O86" s="147"/>
      <c r="P86" s="147"/>
      <c r="Q86" s="147"/>
      <c r="R86" s="550">
        <f t="shared" si="23"/>
        <v>500000</v>
      </c>
      <c r="S86" s="147">
        <f>C86</f>
        <v>500000</v>
      </c>
      <c r="T86" s="147"/>
      <c r="U86" s="143"/>
    </row>
    <row r="87" spans="1:21" s="144" customFormat="1">
      <c r="A87" s="145" t="s">
        <v>780</v>
      </c>
      <c r="B87" s="146">
        <f t="shared" si="22"/>
        <v>0</v>
      </c>
      <c r="C87" s="147"/>
      <c r="D87" s="147"/>
      <c r="E87" s="147"/>
      <c r="F87" s="147"/>
      <c r="G87" s="147"/>
      <c r="H87" s="147"/>
      <c r="I87" s="147"/>
      <c r="J87" s="147"/>
      <c r="K87" s="147"/>
      <c r="L87" s="147"/>
      <c r="M87" s="147"/>
      <c r="N87" s="147"/>
      <c r="O87" s="147"/>
      <c r="P87" s="147"/>
      <c r="Q87" s="147"/>
      <c r="R87" s="550">
        <f t="shared" si="23"/>
        <v>0</v>
      </c>
      <c r="S87" s="147"/>
      <c r="T87" s="147"/>
      <c r="U87" s="143"/>
    </row>
    <row r="88" spans="1:21" s="144" customFormat="1">
      <c r="A88" s="145" t="s">
        <v>781</v>
      </c>
      <c r="B88" s="146">
        <f t="shared" si="22"/>
        <v>50000</v>
      </c>
      <c r="C88" s="147">
        <v>50000</v>
      </c>
      <c r="D88" s="147"/>
      <c r="E88" s="147"/>
      <c r="F88" s="147">
        <f>C88</f>
        <v>50000</v>
      </c>
      <c r="G88" s="147"/>
      <c r="H88" s="147"/>
      <c r="I88" s="147"/>
      <c r="J88" s="147"/>
      <c r="K88" s="147"/>
      <c r="L88" s="147"/>
      <c r="M88" s="147"/>
      <c r="N88" s="147"/>
      <c r="O88" s="147"/>
      <c r="P88" s="147"/>
      <c r="Q88" s="147"/>
      <c r="R88" s="550">
        <f t="shared" si="23"/>
        <v>50000</v>
      </c>
      <c r="S88" s="148"/>
      <c r="T88" s="148"/>
      <c r="U88" s="143"/>
    </row>
    <row r="89" spans="1:21" s="144" customFormat="1">
      <c r="A89" s="145" t="s">
        <v>782</v>
      </c>
      <c r="B89" s="146">
        <f t="shared" si="22"/>
        <v>200000</v>
      </c>
      <c r="C89" s="147">
        <v>200000</v>
      </c>
      <c r="D89" s="147"/>
      <c r="E89" s="147">
        <f>C89</f>
        <v>200000</v>
      </c>
      <c r="F89" s="147"/>
      <c r="G89" s="147"/>
      <c r="H89" s="147"/>
      <c r="I89" s="147"/>
      <c r="J89" s="147"/>
      <c r="K89" s="147"/>
      <c r="L89" s="147"/>
      <c r="M89" s="147"/>
      <c r="N89" s="147"/>
      <c r="O89" s="147"/>
      <c r="P89" s="147"/>
      <c r="Q89" s="147"/>
      <c r="R89" s="550">
        <f t="shared" si="23"/>
        <v>200000</v>
      </c>
      <c r="S89" s="147">
        <f>C89</f>
        <v>200000</v>
      </c>
      <c r="T89" s="147"/>
      <c r="U89" s="143"/>
    </row>
    <row r="90" spans="1:21" s="144" customFormat="1">
      <c r="A90" s="145" t="s">
        <v>783</v>
      </c>
      <c r="B90" s="146">
        <f t="shared" si="22"/>
        <v>0</v>
      </c>
      <c r="C90" s="147"/>
      <c r="D90" s="147"/>
      <c r="E90" s="147"/>
      <c r="F90" s="147"/>
      <c r="G90" s="147"/>
      <c r="H90" s="147"/>
      <c r="I90" s="147"/>
      <c r="J90" s="147"/>
      <c r="K90" s="147"/>
      <c r="L90" s="147"/>
      <c r="M90" s="147"/>
      <c r="N90" s="147"/>
      <c r="O90" s="147"/>
      <c r="P90" s="147"/>
      <c r="Q90" s="147"/>
      <c r="R90" s="550">
        <f t="shared" si="23"/>
        <v>0</v>
      </c>
      <c r="S90" s="147"/>
      <c r="T90" s="147"/>
      <c r="U90" s="143"/>
    </row>
    <row r="91" spans="1:21" s="144" customFormat="1">
      <c r="A91" s="145" t="s">
        <v>373</v>
      </c>
      <c r="B91" s="146">
        <f t="shared" si="22"/>
        <v>0</v>
      </c>
      <c r="C91" s="147"/>
      <c r="D91" s="147"/>
      <c r="E91" s="147"/>
      <c r="F91" s="147"/>
      <c r="G91" s="147"/>
      <c r="H91" s="147"/>
      <c r="I91" s="147"/>
      <c r="J91" s="147"/>
      <c r="K91" s="147"/>
      <c r="L91" s="147"/>
      <c r="M91" s="147"/>
      <c r="N91" s="147"/>
      <c r="O91" s="147"/>
      <c r="P91" s="147"/>
      <c r="Q91" s="147"/>
      <c r="R91" s="550">
        <f t="shared" si="23"/>
        <v>0</v>
      </c>
      <c r="S91" s="147"/>
      <c r="T91" s="147"/>
      <c r="U91" s="143"/>
    </row>
    <row r="92" spans="1:21" s="144" customFormat="1">
      <c r="A92" s="304" t="s">
        <v>1318</v>
      </c>
      <c r="B92" s="146">
        <f t="shared" si="22"/>
        <v>0</v>
      </c>
      <c r="C92" s="147"/>
      <c r="D92" s="147"/>
      <c r="E92" s="147"/>
      <c r="F92" s="147"/>
      <c r="G92" s="147"/>
      <c r="H92" s="147"/>
      <c r="I92" s="147"/>
      <c r="J92" s="147"/>
      <c r="K92" s="147"/>
      <c r="L92" s="147"/>
      <c r="M92" s="147"/>
      <c r="N92" s="147"/>
      <c r="O92" s="147"/>
      <c r="P92" s="147"/>
      <c r="Q92" s="147"/>
      <c r="R92" s="550">
        <f t="shared" si="23"/>
        <v>0</v>
      </c>
      <c r="S92" s="147"/>
      <c r="T92" s="147"/>
      <c r="U92" s="143"/>
    </row>
    <row r="93" spans="1:21" s="144" customFormat="1">
      <c r="A93" s="1193" t="s">
        <v>34</v>
      </c>
      <c r="B93" s="146">
        <f t="shared" si="22"/>
        <v>0</v>
      </c>
      <c r="C93" s="147"/>
      <c r="D93" s="147"/>
      <c r="E93" s="147"/>
      <c r="F93" s="147"/>
      <c r="G93" s="147"/>
      <c r="H93" s="147"/>
      <c r="I93" s="147"/>
      <c r="J93" s="147"/>
      <c r="K93" s="147"/>
      <c r="L93" s="147"/>
      <c r="M93" s="147"/>
      <c r="N93" s="147"/>
      <c r="O93" s="147"/>
      <c r="P93" s="147"/>
      <c r="Q93" s="147"/>
      <c r="R93" s="550">
        <f t="shared" si="23"/>
        <v>0</v>
      </c>
      <c r="S93" s="147"/>
      <c r="T93" s="147"/>
      <c r="U93" s="143"/>
    </row>
    <row r="94" spans="1:21" s="144" customFormat="1">
      <c r="A94" s="1193" t="s">
        <v>34</v>
      </c>
      <c r="B94" s="146">
        <f t="shared" si="22"/>
        <v>0</v>
      </c>
      <c r="C94" s="147"/>
      <c r="D94" s="147"/>
      <c r="E94" s="147"/>
      <c r="F94" s="147"/>
      <c r="G94" s="147"/>
      <c r="H94" s="147"/>
      <c r="I94" s="147"/>
      <c r="J94" s="147"/>
      <c r="K94" s="147"/>
      <c r="L94" s="147"/>
      <c r="M94" s="147"/>
      <c r="N94" s="147"/>
      <c r="O94" s="147"/>
      <c r="P94" s="147"/>
      <c r="Q94" s="147"/>
      <c r="R94" s="550">
        <f t="shared" si="23"/>
        <v>0</v>
      </c>
      <c r="S94" s="147"/>
      <c r="T94" s="147"/>
      <c r="U94" s="143"/>
    </row>
    <row r="95" spans="1:21" s="144" customFormat="1">
      <c r="A95" s="1193" t="s">
        <v>34</v>
      </c>
      <c r="B95" s="146">
        <f t="shared" si="22"/>
        <v>0</v>
      </c>
      <c r="C95" s="147"/>
      <c r="D95" s="147"/>
      <c r="E95" s="147"/>
      <c r="F95" s="147"/>
      <c r="G95" s="147"/>
      <c r="H95" s="147"/>
      <c r="I95" s="147"/>
      <c r="J95" s="147"/>
      <c r="K95" s="147"/>
      <c r="L95" s="147"/>
      <c r="M95" s="147"/>
      <c r="N95" s="147"/>
      <c r="O95" s="147"/>
      <c r="P95" s="147"/>
      <c r="Q95" s="147"/>
      <c r="R95" s="550">
        <f t="shared" si="23"/>
        <v>0</v>
      </c>
      <c r="S95" s="147"/>
      <c r="T95" s="147"/>
      <c r="U95" s="143"/>
    </row>
    <row r="96" spans="1:21" s="144" customFormat="1">
      <c r="A96" s="149" t="s">
        <v>784</v>
      </c>
      <c r="B96" s="146">
        <f>SUM(C96:D96)</f>
        <v>5420500</v>
      </c>
      <c r="C96" s="146">
        <f t="shared" ref="C96:R96" si="24">SUM(C83:C95)</f>
        <v>5420500</v>
      </c>
      <c r="D96" s="146">
        <f t="shared" si="24"/>
        <v>0</v>
      </c>
      <c r="E96" s="146">
        <f t="shared" si="24"/>
        <v>400000</v>
      </c>
      <c r="F96" s="146">
        <f t="shared" si="24"/>
        <v>4841706</v>
      </c>
      <c r="G96" s="146">
        <f t="shared" si="24"/>
        <v>178794</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5420500</v>
      </c>
      <c r="S96" s="150">
        <f>SUM(S84:S87,S89:S95)</f>
        <v>5200500</v>
      </c>
      <c r="T96" s="146">
        <f>SUM(T84:T87,T89:T95)</f>
        <v>0</v>
      </c>
      <c r="U96" s="143"/>
    </row>
    <row r="97" spans="1:21" s="144" customFormat="1">
      <c r="A97" s="149" t="s">
        <v>785</v>
      </c>
      <c r="B97" s="146">
        <f>SUM(C97:D97)</f>
        <v>63984091</v>
      </c>
      <c r="C97" s="146">
        <f t="shared" ref="C97:R97" si="25">SUM(C63+C70+C77+C81+C96)</f>
        <v>63984091</v>
      </c>
      <c r="D97" s="146">
        <f t="shared" si="25"/>
        <v>0</v>
      </c>
      <c r="E97" s="146">
        <f t="shared" si="25"/>
        <v>33399591</v>
      </c>
      <c r="F97" s="146">
        <f t="shared" si="25"/>
        <v>28500000</v>
      </c>
      <c r="G97" s="146">
        <f t="shared" si="25"/>
        <v>1600000</v>
      </c>
      <c r="H97" s="146">
        <f t="shared" si="25"/>
        <v>0</v>
      </c>
      <c r="I97" s="146">
        <f t="shared" si="25"/>
        <v>484500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63984091</v>
      </c>
      <c r="S97" s="146">
        <f>SUM(S63+S70+S81+S96)</f>
        <v>55762668</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6500000</v>
      </c>
      <c r="C99" s="1014">
        <v>6500000</v>
      </c>
      <c r="D99" s="1014"/>
      <c r="E99" s="1014">
        <f>C99-H99</f>
        <v>1300312</v>
      </c>
      <c r="F99" s="147"/>
      <c r="G99" s="147"/>
      <c r="H99" s="147">
        <f>H108</f>
        <v>5199688</v>
      </c>
      <c r="I99" s="147"/>
      <c r="J99" s="147"/>
      <c r="K99" s="147"/>
      <c r="L99" s="147"/>
      <c r="M99" s="147"/>
      <c r="N99" s="147"/>
      <c r="O99" s="147"/>
      <c r="P99" s="147"/>
      <c r="Q99" s="147"/>
      <c r="R99" s="550">
        <f>SUM(E99:Q99)</f>
        <v>6500000</v>
      </c>
      <c r="S99" s="147">
        <f>C99</f>
        <v>6500000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6500000</v>
      </c>
      <c r="C104" s="146">
        <f>SUM(C99:C103)</f>
        <v>6500000</v>
      </c>
      <c r="D104" s="146">
        <f t="shared" ref="D104:T104" si="26">SUM(D99:D103)</f>
        <v>0</v>
      </c>
      <c r="E104" s="146">
        <f t="shared" si="26"/>
        <v>1300312</v>
      </c>
      <c r="F104" s="146">
        <f t="shared" si="26"/>
        <v>0</v>
      </c>
      <c r="G104" s="146">
        <f t="shared" si="26"/>
        <v>0</v>
      </c>
      <c r="H104" s="146">
        <f t="shared" si="26"/>
        <v>5199688</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6500000</v>
      </c>
      <c r="S104" s="150">
        <f t="shared" si="26"/>
        <v>6500000</v>
      </c>
      <c r="T104" s="150">
        <f t="shared" si="26"/>
        <v>0</v>
      </c>
      <c r="U104" s="143"/>
    </row>
    <row r="105" spans="1:21" s="144" customFormat="1">
      <c r="A105" s="149" t="s">
        <v>790</v>
      </c>
      <c r="B105" s="150">
        <f>SUM(C105:D105)</f>
        <v>70484091</v>
      </c>
      <c r="C105" s="150">
        <f t="shared" ref="C105:R105" si="27">SUM(C97+C104)</f>
        <v>70484091</v>
      </c>
      <c r="D105" s="150">
        <f t="shared" si="27"/>
        <v>0</v>
      </c>
      <c r="E105" s="150">
        <f t="shared" si="27"/>
        <v>34699903</v>
      </c>
      <c r="F105" s="150">
        <f t="shared" si="27"/>
        <v>28500000</v>
      </c>
      <c r="G105" s="150">
        <f t="shared" si="27"/>
        <v>1600000</v>
      </c>
      <c r="H105" s="150">
        <f t="shared" si="27"/>
        <v>5199688</v>
      </c>
      <c r="I105" s="150">
        <f t="shared" si="27"/>
        <v>484500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70484091</v>
      </c>
      <c r="S105" s="150">
        <f>S97+S104</f>
        <v>62262668</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62262668</v>
      </c>
      <c r="T107" s="150">
        <f>T105+T106</f>
        <v>0</v>
      </c>
    </row>
    <row r="108" spans="1:21" s="201" customFormat="1">
      <c r="A108" s="162" t="s">
        <v>892</v>
      </c>
      <c r="B108" s="157"/>
      <c r="C108" s="157"/>
      <c r="D108" s="157"/>
      <c r="E108" s="323">
        <f>Application!AO640</f>
        <v>34699903</v>
      </c>
      <c r="F108" s="323">
        <f>Application!AO627</f>
        <v>28500000</v>
      </c>
      <c r="G108" s="323">
        <f>Application!AO628</f>
        <v>1600000</v>
      </c>
      <c r="H108" s="323">
        <f>Application!AO629</f>
        <v>5199688</v>
      </c>
      <c r="I108" s="323">
        <f>Application!AO630</f>
        <v>484500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2409</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548"/>
      <c r="F123" s="1548"/>
      <c r="G123" s="1548"/>
      <c r="H123" s="1548"/>
      <c r="I123" s="1548"/>
      <c r="J123" s="1548"/>
      <c r="K123" s="1548"/>
      <c r="L123" s="1548"/>
      <c r="M123" s="1548"/>
      <c r="N123" s="1548"/>
      <c r="O123" s="1548"/>
      <c r="P123" s="1548"/>
      <c r="Q123" s="1548"/>
      <c r="R123" s="1548"/>
      <c r="S123" s="1548"/>
      <c r="T123" s="352"/>
      <c r="U123" s="354"/>
    </row>
    <row r="124" spans="1:21" ht="12.75">
      <c r="A124" s="117" t="s">
        <v>1017</v>
      </c>
      <c r="B124" s="361"/>
      <c r="C124" s="117"/>
      <c r="D124" s="1548"/>
      <c r="E124" s="1548"/>
      <c r="F124" s="1548"/>
      <c r="G124" s="1548"/>
      <c r="H124" s="1548"/>
      <c r="I124" s="1548"/>
      <c r="J124" s="1548"/>
      <c r="K124" s="1548"/>
      <c r="L124" s="1548"/>
      <c r="M124" s="1548"/>
      <c r="N124" s="1548"/>
      <c r="O124" s="1548"/>
      <c r="P124" s="1548"/>
      <c r="Q124" s="1548"/>
      <c r="R124" s="1548"/>
      <c r="S124" s="1548"/>
      <c r="T124" s="352"/>
      <c r="U124" s="354"/>
    </row>
    <row r="125" spans="1:21" ht="12.75">
      <c r="A125" s="117" t="s">
        <v>1018</v>
      </c>
      <c r="B125" s="361"/>
      <c r="C125" s="117"/>
      <c r="D125" s="1548"/>
      <c r="E125" s="1548"/>
      <c r="F125" s="1548"/>
      <c r="G125" s="1548"/>
      <c r="H125" s="1548"/>
      <c r="I125" s="1548"/>
      <c r="J125" s="1548"/>
      <c r="K125" s="1548"/>
      <c r="L125" s="1548"/>
      <c r="M125" s="1548"/>
      <c r="N125" s="1548"/>
      <c r="O125" s="1548"/>
      <c r="P125" s="1548"/>
      <c r="Q125" s="1548"/>
      <c r="R125" s="1548"/>
      <c r="S125" s="1548"/>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f>Application!AM554/('Sources and Uses Budget'!S107+'Sources and Uses Budget'!C8+1900000)</f>
        <v>0.50862739071872232</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 zoomScale="85" zoomScaleNormal="85" workbookViewId="0">
      <selection activeCell="G52" sqref="G52"/>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3440000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3490000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3490000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8754167</v>
      </c>
      <c r="C29" s="393"/>
      <c r="D29" s="393"/>
      <c r="E29" s="392">
        <f>'Sources and Uses Budget'!S29</f>
        <v>8754167</v>
      </c>
      <c r="F29" s="393"/>
      <c r="G29" s="393"/>
      <c r="H29" s="392">
        <f>'Sources and Uses Budget'!T29</f>
        <v>0</v>
      </c>
      <c r="I29" s="393"/>
      <c r="J29" s="393"/>
      <c r="K29" s="390"/>
    </row>
    <row r="30" spans="1:11" s="391" customFormat="1">
      <c r="A30" s="145" t="s">
        <v>608</v>
      </c>
      <c r="B30" s="392">
        <f>'Sources and Uses Budget'!C30</f>
        <v>27797390</v>
      </c>
      <c r="C30" s="393"/>
      <c r="D30" s="393"/>
      <c r="E30" s="392">
        <f>'Sources and Uses Budget'!S30</f>
        <v>25897390</v>
      </c>
      <c r="F30" s="393"/>
      <c r="G30" s="393"/>
      <c r="H30" s="392">
        <f>'Sources and Uses Budget'!T30</f>
        <v>0</v>
      </c>
      <c r="I30" s="393"/>
      <c r="J30" s="393"/>
      <c r="K30" s="390"/>
    </row>
    <row r="31" spans="1:11" s="391" customFormat="1">
      <c r="A31" s="145" t="s">
        <v>609</v>
      </c>
      <c r="B31" s="392">
        <f>'Sources and Uses Budget'!C31</f>
        <v>2401003</v>
      </c>
      <c r="C31" s="393"/>
      <c r="D31" s="393"/>
      <c r="E31" s="392">
        <f>'Sources and Uses Budget'!S31</f>
        <v>2401003</v>
      </c>
      <c r="F31" s="393"/>
      <c r="G31" s="393"/>
      <c r="H31" s="392">
        <f>'Sources and Uses Budget'!T31</f>
        <v>0</v>
      </c>
      <c r="I31" s="393"/>
      <c r="J31" s="393"/>
      <c r="K31" s="390"/>
    </row>
    <row r="32" spans="1:11" s="391" customFormat="1">
      <c r="A32" s="145" t="s">
        <v>137</v>
      </c>
      <c r="B32" s="392">
        <f>'Sources and Uses Budget'!C32</f>
        <v>500000</v>
      </c>
      <c r="C32" s="393"/>
      <c r="D32" s="393"/>
      <c r="E32" s="392">
        <f>'Sources and Uses Budget'!S32</f>
        <v>500000</v>
      </c>
      <c r="F32" s="393"/>
      <c r="G32" s="393"/>
      <c r="H32" s="392">
        <f>'Sources and Uses Budget'!T32</f>
        <v>0</v>
      </c>
      <c r="I32" s="393"/>
      <c r="J32" s="393"/>
      <c r="K32" s="390"/>
    </row>
    <row r="33" spans="1:11" s="391" customFormat="1">
      <c r="A33" s="145" t="s">
        <v>138</v>
      </c>
      <c r="B33" s="392">
        <f>'Sources and Uses Budget'!C33</f>
        <v>2000836</v>
      </c>
      <c r="C33" s="393"/>
      <c r="D33" s="393"/>
      <c r="E33" s="392">
        <f>'Sources and Uses Budget'!S33</f>
        <v>2000836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350000</v>
      </c>
      <c r="C35" s="393"/>
      <c r="D35" s="393"/>
      <c r="E35" s="392">
        <f>'Sources and Uses Budget'!S35</f>
        <v>350000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(P&amp;P)</v>
      </c>
      <c r="B37" s="392">
        <f>'Sources and Uses Budget'!C37</f>
        <v>450000</v>
      </c>
      <c r="C37" s="393"/>
      <c r="D37" s="393"/>
      <c r="E37" s="392">
        <f>'Sources and Uses Budget'!S37</f>
        <v>450000</v>
      </c>
      <c r="F37" s="393"/>
      <c r="G37" s="393"/>
      <c r="H37" s="392">
        <f>'Sources and Uses Budget'!T37</f>
        <v>0</v>
      </c>
      <c r="I37" s="393"/>
      <c r="J37" s="393"/>
      <c r="K37" s="390"/>
    </row>
    <row r="38" spans="1:11" s="391" customFormat="1">
      <c r="A38" s="396" t="s">
        <v>143</v>
      </c>
      <c r="B38" s="392">
        <f>'Sources and Uses Budget'!C38</f>
        <v>42253396</v>
      </c>
      <c r="C38" s="392">
        <f>SUM(C29:C37)</f>
        <v>0</v>
      </c>
      <c r="D38" s="392">
        <f>SUM(D29:D37)</f>
        <v>0</v>
      </c>
      <c r="E38" s="392">
        <f>'Sources and Uses Budget'!S38</f>
        <v>40353396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425000</v>
      </c>
      <c r="C40" s="393"/>
      <c r="D40" s="393"/>
      <c r="E40" s="392">
        <f>'Sources and Uses Budget'!S40</f>
        <v>425000</v>
      </c>
      <c r="F40" s="393"/>
      <c r="G40" s="393"/>
      <c r="H40" s="392">
        <f>'Sources and Uses Budget'!T40</f>
        <v>0</v>
      </c>
      <c r="I40" s="393"/>
      <c r="J40" s="393"/>
      <c r="K40" s="390"/>
    </row>
    <row r="41" spans="1:11" s="391" customFormat="1">
      <c r="A41" s="395" t="s">
        <v>146</v>
      </c>
      <c r="B41" s="392">
        <f>'Sources and Uses Budget'!C41</f>
        <v>425000</v>
      </c>
      <c r="C41" s="393"/>
      <c r="D41" s="393"/>
      <c r="E41" s="392">
        <f>'Sources and Uses Budget'!S41</f>
        <v>425000</v>
      </c>
      <c r="F41" s="393"/>
      <c r="G41" s="393"/>
      <c r="H41" s="392">
        <f>'Sources and Uses Budget'!T41</f>
        <v>0</v>
      </c>
      <c r="I41" s="393"/>
      <c r="J41" s="393"/>
      <c r="K41" s="390"/>
    </row>
    <row r="42" spans="1:11" s="391" customFormat="1">
      <c r="A42" s="396" t="s">
        <v>147</v>
      </c>
      <c r="B42" s="392">
        <f>'Sources and Uses Budget'!C42</f>
        <v>850000</v>
      </c>
      <c r="C42" s="392">
        <f>SUM(C39:C41)</f>
        <v>0</v>
      </c>
      <c r="D42" s="392">
        <f>SUM(D39:D41)</f>
        <v>0</v>
      </c>
      <c r="E42" s="392">
        <f>'Sources and Uses Budget'!S42</f>
        <v>850000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750000</v>
      </c>
      <c r="C43" s="393"/>
      <c r="D43" s="393"/>
      <c r="E43" s="392">
        <f>'Sources and Uses Budget'!S43</f>
        <v>750000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3800000</v>
      </c>
      <c r="C45" s="393"/>
      <c r="D45" s="393"/>
      <c r="E45" s="392">
        <f>'Sources and Uses Budget'!S45</f>
        <v>3000000</v>
      </c>
      <c r="F45" s="393"/>
      <c r="G45" s="393"/>
      <c r="H45" s="392">
        <f>'Sources and Uses Budget'!T45</f>
        <v>0</v>
      </c>
      <c r="I45" s="393"/>
      <c r="J45" s="393"/>
      <c r="K45" s="390"/>
    </row>
    <row r="46" spans="1:11" s="391" customFormat="1">
      <c r="A46" s="395" t="s">
        <v>151</v>
      </c>
      <c r="B46" s="392">
        <f>'Sources and Uses Budget'!C46</f>
        <v>475000</v>
      </c>
      <c r="C46" s="393"/>
      <c r="D46" s="393"/>
      <c r="E46" s="392">
        <f>'Sources and Uses Budget'!S46</f>
        <v>475000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100000</v>
      </c>
      <c r="C51" s="393"/>
      <c r="D51" s="393"/>
      <c r="E51" s="392">
        <f>'Sources and Uses Budget'!S51</f>
        <v>100000</v>
      </c>
      <c r="F51" s="393"/>
      <c r="G51" s="393"/>
      <c r="H51" s="392">
        <f>'Sources and Uses Budget'!T51</f>
        <v>0</v>
      </c>
      <c r="I51" s="393"/>
      <c r="J51" s="393"/>
      <c r="K51" s="390"/>
    </row>
    <row r="52" spans="1:11" s="391" customFormat="1">
      <c r="A52" s="395" t="s">
        <v>155</v>
      </c>
      <c r="B52" s="392">
        <f>'Sources and Uses Budget'!C52</f>
        <v>85000</v>
      </c>
      <c r="C52" s="393"/>
      <c r="D52" s="393"/>
      <c r="E52" s="392">
        <f>'Sources and Uses Budget'!S52</f>
        <v>85000</v>
      </c>
      <c r="F52" s="393"/>
      <c r="G52" s="393"/>
      <c r="H52" s="392">
        <f>'Sources and Uses Budget'!T52</f>
        <v>0</v>
      </c>
      <c r="I52" s="393"/>
      <c r="J52" s="393"/>
      <c r="K52" s="390"/>
    </row>
    <row r="53" spans="1:11" s="391" customFormat="1">
      <c r="A53" s="395" t="str">
        <f>'Sources and Uses Budget'!$A53</f>
        <v>Other: (Construction Monitoring)</v>
      </c>
      <c r="B53" s="392">
        <f>'Sources and Uses Budget'!C53</f>
        <v>91000</v>
      </c>
      <c r="C53" s="393"/>
      <c r="D53" s="393"/>
      <c r="E53" s="392">
        <f>'Sources and Uses Budget'!S53</f>
        <v>91000</v>
      </c>
      <c r="F53" s="393"/>
      <c r="G53" s="393"/>
      <c r="H53" s="392">
        <f>'Sources and Uses Budget'!T53</f>
        <v>0</v>
      </c>
      <c r="I53" s="393"/>
      <c r="J53" s="393"/>
      <c r="K53" s="390"/>
    </row>
    <row r="54" spans="1:11" s="400" customFormat="1">
      <c r="A54" s="396" t="s">
        <v>157</v>
      </c>
      <c r="B54" s="392">
        <f>'Sources and Uses Budget'!C54</f>
        <v>4651000</v>
      </c>
      <c r="C54" s="398">
        <f>SUM(C45:C53)</f>
        <v>0</v>
      </c>
      <c r="D54" s="398">
        <f>SUM(D45:D53)</f>
        <v>0</v>
      </c>
      <c r="E54" s="392">
        <f>'Sources and Uses Budget'!S54</f>
        <v>3851000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443500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(Other Perm Loan Fees)</v>
      </c>
      <c r="B61" s="392">
        <f>'Sources and Uses Budget'!C61</f>
        <v>130250</v>
      </c>
      <c r="C61" s="393"/>
      <c r="D61" s="393"/>
      <c r="E61" s="394"/>
      <c r="F61" s="394"/>
      <c r="G61" s="394"/>
      <c r="H61" s="394"/>
      <c r="I61" s="394"/>
      <c r="J61" s="394"/>
      <c r="K61" s="390"/>
    </row>
    <row r="62" spans="1:11" s="391" customFormat="1" ht="13.7" customHeight="1">
      <c r="A62" s="396" t="s">
        <v>302</v>
      </c>
      <c r="B62" s="392">
        <f>'Sources and Uses Budget'!C62</f>
        <v>573750</v>
      </c>
      <c r="C62" s="392">
        <f>SUM(C56:C61)</f>
        <v>0</v>
      </c>
      <c r="D62" s="392">
        <f>SUM(D56:D61)</f>
        <v>0</v>
      </c>
      <c r="E62" s="394"/>
      <c r="F62" s="394"/>
      <c r="G62" s="394"/>
      <c r="H62" s="394"/>
      <c r="I62" s="394"/>
      <c r="J62" s="394"/>
      <c r="K62" s="390"/>
    </row>
    <row r="63" spans="1:11" s="391" customFormat="1">
      <c r="A63" s="401" t="s">
        <v>303</v>
      </c>
      <c r="B63" s="392">
        <f>'Sources and Uses Budget'!C63</f>
        <v>52568146</v>
      </c>
      <c r="C63" s="392">
        <f>SUM(C8+C11+C13+C14+C15+C26+C27+C38+C42+C43+C54+C62)</f>
        <v>0</v>
      </c>
      <c r="D63" s="392">
        <f>SUM(D8+D11+D13+D14+D15+D26+D27+D38+D42+D43+D54+D62)</f>
        <v>0</v>
      </c>
      <c r="E63" s="392">
        <f>'Sources and Uses Budget'!S63</f>
        <v>45804396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140000</v>
      </c>
      <c r="C65" s="393"/>
      <c r="D65" s="393"/>
      <c r="E65" s="392">
        <f>'Sources and Uses Budget'!S65</f>
        <v>140000</v>
      </c>
      <c r="F65" s="393"/>
      <c r="G65" s="393"/>
      <c r="H65" s="392">
        <f>'Sources and Uses Budget'!T65</f>
        <v>0</v>
      </c>
      <c r="I65" s="393"/>
      <c r="J65" s="393"/>
      <c r="K65" s="390"/>
    </row>
    <row r="66" spans="1:11" s="391" customFormat="1" ht="24">
      <c r="A66" s="304" t="s">
        <v>1755</v>
      </c>
      <c r="B66" s="392">
        <f>'Sources and Uses Budget'!C66</f>
        <v>50000</v>
      </c>
      <c r="C66" s="393"/>
      <c r="D66" s="393"/>
      <c r="E66" s="392">
        <f>'Sources and Uses Budget'!S66</f>
        <v>50000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(Developer Legal)</v>
      </c>
      <c r="B69" s="392">
        <f>'Sources and Uses Budget'!C69</f>
        <v>455000</v>
      </c>
      <c r="C69" s="393"/>
      <c r="D69" s="393"/>
      <c r="E69" s="392">
        <f>'Sources and Uses Budget'!S69</f>
        <v>350000</v>
      </c>
      <c r="F69" s="393"/>
      <c r="G69" s="393"/>
      <c r="H69" s="392">
        <f>'Sources and Uses Budget'!T69</f>
        <v>0</v>
      </c>
      <c r="I69" s="393"/>
      <c r="J69" s="393"/>
      <c r="K69" s="390"/>
    </row>
    <row r="70" spans="1:11" s="391" customFormat="1">
      <c r="A70" s="396" t="s">
        <v>610</v>
      </c>
      <c r="B70" s="392">
        <f>'Sources and Uses Budget'!C70</f>
        <v>645000</v>
      </c>
      <c r="C70" s="392">
        <f>SUM(C64:C69)</f>
        <v>0</v>
      </c>
      <c r="D70" s="392">
        <f>SUM(D64:D69)</f>
        <v>0</v>
      </c>
      <c r="E70" s="392">
        <f>'Sources and Uses Budget'!S70</f>
        <v>540000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1061398</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1061398</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3465156</v>
      </c>
      <c r="C79" s="393"/>
      <c r="D79" s="393"/>
      <c r="E79" s="392">
        <f>'Sources and Uses Budget'!S79</f>
        <v>3465156</v>
      </c>
      <c r="F79" s="393"/>
      <c r="G79" s="393"/>
      <c r="H79" s="392">
        <f>'Sources and Uses Budget'!T79</f>
        <v>0</v>
      </c>
      <c r="I79" s="393"/>
      <c r="J79" s="393"/>
      <c r="K79" s="390"/>
    </row>
    <row r="80" spans="1:11" s="391" customFormat="1">
      <c r="A80" s="395" t="s">
        <v>58</v>
      </c>
      <c r="B80" s="392">
        <f>'Sources and Uses Budget'!C80</f>
        <v>823891</v>
      </c>
      <c r="C80" s="393"/>
      <c r="D80" s="393"/>
      <c r="E80" s="392">
        <f>'Sources and Uses Budget'!S80</f>
        <v>752616</v>
      </c>
      <c r="F80" s="393"/>
      <c r="G80" s="393"/>
      <c r="H80" s="392">
        <f>'Sources and Uses Budget'!T80</f>
        <v>0</v>
      </c>
      <c r="I80" s="393"/>
      <c r="J80" s="393"/>
      <c r="K80" s="390"/>
    </row>
    <row r="81" spans="1:11" s="391" customFormat="1">
      <c r="A81" s="396" t="s">
        <v>1316</v>
      </c>
      <c r="B81" s="392">
        <f>'Sources and Uses Budget'!C81</f>
        <v>4289047</v>
      </c>
      <c r="C81" s="392">
        <f>SUM(C79:C80)</f>
        <v>0</v>
      </c>
      <c r="D81" s="392">
        <f>SUM(D79:D80)</f>
        <v>0</v>
      </c>
      <c r="E81" s="392">
        <f>'Sources and Uses Budget'!S81</f>
        <v>4217772</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2408</v>
      </c>
      <c r="B83" s="392">
        <f>'Sources and Uses Budget'!C83</f>
        <v>170000</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4500500</v>
      </c>
      <c r="C85" s="393"/>
      <c r="D85" s="393"/>
      <c r="E85" s="392">
        <f>'Sources and Uses Budget'!S85</f>
        <v>4500500</v>
      </c>
      <c r="F85" s="393"/>
      <c r="G85" s="393"/>
      <c r="H85" s="392">
        <f>'Sources and Uses Budget'!T85</f>
        <v>0</v>
      </c>
      <c r="I85" s="393"/>
      <c r="J85" s="393"/>
      <c r="K85" s="390"/>
    </row>
    <row r="86" spans="1:11" s="391" customFormat="1">
      <c r="A86" s="145" t="s">
        <v>779</v>
      </c>
      <c r="B86" s="392">
        <f>'Sources and Uses Budget'!C86</f>
        <v>500000</v>
      </c>
      <c r="C86" s="393"/>
      <c r="D86" s="393"/>
      <c r="E86" s="392">
        <f>'Sources and Uses Budget'!S86</f>
        <v>500000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c r="D88" s="393"/>
      <c r="E88" s="394"/>
      <c r="F88" s="394"/>
      <c r="G88" s="394"/>
      <c r="H88" s="394"/>
      <c r="I88" s="394"/>
      <c r="J88" s="394"/>
      <c r="K88" s="390"/>
    </row>
    <row r="89" spans="1:11" s="391" customFormat="1">
      <c r="A89" s="145" t="s">
        <v>782</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5420500</v>
      </c>
      <c r="C96" s="392">
        <f>SUM(C83:C95)</f>
        <v>0</v>
      </c>
      <c r="D96" s="392">
        <f>SUM(D83:D95)</f>
        <v>0</v>
      </c>
      <c r="E96" s="392">
        <f>'Sources and Uses Budget'!S96</f>
        <v>5200500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63984091</v>
      </c>
      <c r="C97" s="392">
        <f>SUM(C63+C70+C77+C81+C96)</f>
        <v>0</v>
      </c>
      <c r="D97" s="392">
        <f>SUM(D63+D70+D77+D81+D96)</f>
        <v>0</v>
      </c>
      <c r="E97" s="392">
        <f>'Sources and Uses Budget'!S97</f>
        <v>55762668</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6500000</v>
      </c>
      <c r="C99" s="393"/>
      <c r="D99" s="393"/>
      <c r="E99" s="392">
        <f>'Sources and Uses Budget'!S99</f>
        <v>6500000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6500000</v>
      </c>
      <c r="C104" s="392">
        <f>SUM(C99:C103)</f>
        <v>0</v>
      </c>
      <c r="D104" s="392">
        <f>SUM(D99:D103)</f>
        <v>0</v>
      </c>
      <c r="E104" s="392">
        <f>'Sources and Uses Budget'!S104</f>
        <v>6500000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70484091</v>
      </c>
      <c r="C105" s="398">
        <f>SUM(C97+C104)</f>
        <v>0</v>
      </c>
      <c r="D105" s="398">
        <f>SUM(D97+D104)</f>
        <v>0</v>
      </c>
      <c r="E105" s="392">
        <f>'Sources and Uses Budget'!S105</f>
        <v>62262668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62262668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72" workbookViewId="0">
      <selection activeCell="AD188" sqref="AD188:AJ18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1412</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1417</v>
      </c>
      <c r="AF7" s="1927"/>
      <c r="AG7" s="1927"/>
      <c r="AH7" s="1927"/>
      <c r="AI7" s="1927"/>
      <c r="AJ7" s="1927"/>
      <c r="AK7" s="192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1419</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1420</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1422</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1420</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7" t="s">
        <v>2345</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1420</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9" t="s">
        <v>600</v>
      </c>
      <c r="C30" s="2109"/>
      <c r="D30" s="581"/>
      <c r="E30" s="2119" t="s">
        <v>2317</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7" t="s">
        <v>2318</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7" t="s">
        <v>2319</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7" t="s">
        <v>2324</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2325</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7" t="s">
        <v>2326</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1426</v>
      </c>
      <c r="AF59" s="1927"/>
      <c r="AG59" s="1927"/>
      <c r="AH59" s="1927"/>
      <c r="AI59" s="1927"/>
      <c r="AJ59" s="1927"/>
      <c r="AK59" s="192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600</v>
      </c>
      <c r="C62" s="2109"/>
      <c r="D62" s="581" t="s">
        <v>1427</v>
      </c>
      <c r="E62" s="2101" t="s">
        <v>2327</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1428</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600</v>
      </c>
      <c r="F69" s="2109"/>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600</v>
      </c>
      <c r="F71" s="213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554</v>
      </c>
      <c r="F73" s="2109"/>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1432</v>
      </c>
      <c r="E75" s="2037" t="s">
        <v>1931</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1417</v>
      </c>
      <c r="AF81" s="1927"/>
      <c r="AG81" s="1927"/>
      <c r="AH81" s="1927"/>
      <c r="AI81" s="1927"/>
      <c r="AJ81" s="1927"/>
      <c r="AK81" s="192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600</v>
      </c>
      <c r="C84" s="2109"/>
      <c r="D84" s="581" t="s">
        <v>1427</v>
      </c>
      <c r="E84" s="2101" t="s">
        <v>1437</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0.5973544973544973</v>
      </c>
      <c r="F87" s="2098"/>
      <c r="G87" s="2098"/>
      <c r="H87" s="209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v>
      </c>
      <c r="F88" s="1901"/>
      <c r="G88" s="1901"/>
      <c r="H88" s="190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0</v>
      </c>
      <c r="F89" s="2114"/>
      <c r="G89" s="2114"/>
      <c r="H89" s="2114"/>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554</v>
      </c>
      <c r="C92" s="2109"/>
      <c r="D92" s="581" t="s">
        <v>1429</v>
      </c>
      <c r="E92" s="2101" t="s">
        <v>1916</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0.5973544973544973</v>
      </c>
      <c r="F97" s="2098"/>
      <c r="G97" s="2098"/>
      <c r="H97" s="209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0.1164021164021164</v>
      </c>
      <c r="F98" s="2098"/>
      <c r="G98" s="2098"/>
      <c r="H98" s="209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0.14285714285714285</v>
      </c>
      <c r="F99" s="2098"/>
      <c r="G99" s="2098"/>
      <c r="H99" s="209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1426</v>
      </c>
      <c r="AF106" s="1927"/>
      <c r="AG106" s="1927"/>
      <c r="AH106" s="1927"/>
      <c r="AI106" s="1927"/>
      <c r="AJ106" s="1927"/>
      <c r="AK106" s="1927"/>
      <c r="AL106" s="574"/>
      <c r="AM106" s="574"/>
      <c r="AN106" s="569"/>
      <c r="AO106" s="570" t="str">
        <f>Application!B718</f>
        <v>1 Bedroom</v>
      </c>
      <c r="AQ106" s="570">
        <f>Application!O718</f>
        <v>524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997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1233</v>
      </c>
    </row>
    <row r="109" spans="1:49" s="570" customFormat="1" ht="12.75" customHeight="1">
      <c r="A109" s="574"/>
      <c r="B109" s="2109" t="s">
        <v>554</v>
      </c>
      <c r="C109" s="2109"/>
      <c r="D109" s="581" t="s">
        <v>1427</v>
      </c>
      <c r="E109" s="2101" t="s">
        <v>2050</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1470</v>
      </c>
      <c r="AU109" s="570" t="s">
        <v>2032</v>
      </c>
      <c r="AV109" s="629" t="s">
        <v>2033</v>
      </c>
      <c r="AW109" s="570" t="s">
        <v>2034</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627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1194</v>
      </c>
      <c r="AU111" s="890" t="str">
        <f>J118</f>
        <v>1-bedroom</v>
      </c>
      <c r="AV111" s="570">
        <f t="array" ref="AV111">SUM(IF(Application!B718:F752="1 Bedroom",Application!G718:J752))</f>
        <v>64</v>
      </c>
      <c r="AW111" s="1046">
        <f>AV111/AV116</f>
        <v>0.33862433862433861</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2 Bedrooms</v>
      </c>
      <c r="AQ112" s="570">
        <f>Application!O724</f>
        <v>1478</v>
      </c>
      <c r="AU112" s="890" t="str">
        <f>O118</f>
        <v>2-bedroom</v>
      </c>
      <c r="AV112" s="570">
        <f t="array" ref="AV112">SUM(IF(Application!B718:F752="2 Bedrooms",Application!G718:J752))</f>
        <v>46</v>
      </c>
      <c r="AW112" s="1046">
        <f>AV112/AV116</f>
        <v>0.24338624338624337</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2 Bedrooms</v>
      </c>
      <c r="AQ113" s="570">
        <f>Application!O725</f>
        <v>1762</v>
      </c>
      <c r="AU113" s="890" t="str">
        <f>T118</f>
        <v>3-bedroom</v>
      </c>
      <c r="AV113" s="570">
        <f t="array" ref="AV113">SUM(IF(Application!B718:F752="3 Bedrooms",Application!G718:J752))</f>
        <v>57</v>
      </c>
      <c r="AW113" s="1046">
        <f>AV113/AV116</f>
        <v>0.30158730158730157</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3 Bedrooms</v>
      </c>
      <c r="AQ114" s="570">
        <f>Application!O726</f>
        <v>707</v>
      </c>
      <c r="AU114" s="890" t="str">
        <f>Y118</f>
        <v>4-bedroom</v>
      </c>
      <c r="AV114" s="570">
        <f t="array" ref="AV114">SUM(IF(Application!B718:F752="4 Bedrooms",Application!G718:J752))</f>
        <v>22</v>
      </c>
      <c r="AW114" s="1046">
        <f>AV114/AV116</f>
        <v>0.1164021164021164</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t="str">
        <f>Application!B727</f>
        <v>3 Bedrooms</v>
      </c>
      <c r="AQ115" s="570">
        <f>Application!O727</f>
        <v>1363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t="str">
        <f>Application!B728</f>
        <v>3 Bedrooms</v>
      </c>
      <c r="AQ116" s="570">
        <f>Application!O728</f>
        <v>1691</v>
      </c>
      <c r="AV116" s="570">
        <f>SUM(AV110:AV115)</f>
        <v>189</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2019</v>
      </c>
    </row>
    <row r="118" spans="1:52" s="570" customFormat="1" ht="12.75" customHeight="1">
      <c r="A118" s="574"/>
      <c r="B118" s="573"/>
      <c r="C118" s="574"/>
      <c r="D118" s="574"/>
      <c r="E118" s="2097" t="s">
        <v>1701</v>
      </c>
      <c r="F118" s="2098"/>
      <c r="G118" s="2098"/>
      <c r="H118" s="2098"/>
      <c r="I118" s="611"/>
      <c r="J118" s="2098" t="s">
        <v>1745</v>
      </c>
      <c r="K118" s="2098"/>
      <c r="L118" s="2098"/>
      <c r="M118" s="2098"/>
      <c r="N118" s="611"/>
      <c r="O118" s="2098" t="s">
        <v>1746</v>
      </c>
      <c r="P118" s="2098"/>
      <c r="Q118" s="2098"/>
      <c r="R118" s="2098"/>
      <c r="S118" s="611"/>
      <c r="T118" s="2098" t="s">
        <v>1446</v>
      </c>
      <c r="U118" s="2098"/>
      <c r="V118" s="2098"/>
      <c r="W118" s="2098"/>
      <c r="X118" s="611"/>
      <c r="Y118" s="2098" t="s">
        <v>1747</v>
      </c>
      <c r="Z118" s="2098"/>
      <c r="AA118" s="2098"/>
      <c r="AB118" s="2098"/>
      <c r="AC118" s="611"/>
      <c r="AD118" s="2098" t="s">
        <v>1748</v>
      </c>
      <c r="AE118" s="2098"/>
      <c r="AF118" s="2098"/>
      <c r="AG118" s="2098"/>
      <c r="AH118" s="611"/>
      <c r="AI118" s="611"/>
      <c r="AJ118" s="613"/>
      <c r="AK118" s="574"/>
      <c r="AL118" s="574"/>
      <c r="AM118" s="574"/>
      <c r="AN118" s="569"/>
      <c r="AO118" s="570" t="str">
        <f>Application!B730</f>
        <v>3 Bedrooms</v>
      </c>
      <c r="AQ118" s="570">
        <f>Application!O730</f>
        <v>707</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1363</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1691</v>
      </c>
    </row>
    <row r="121" spans="1:52" s="570" customFormat="1" ht="12.75" customHeight="1">
      <c r="A121" s="574"/>
      <c r="B121" s="573"/>
      <c r="C121" s="574"/>
      <c r="D121" s="574"/>
      <c r="E121" s="2099"/>
      <c r="F121" s="2100"/>
      <c r="G121" s="2100"/>
      <c r="H121" s="2100"/>
      <c r="I121" s="898"/>
      <c r="J121" s="2100">
        <v>1968</v>
      </c>
      <c r="K121" s="2100"/>
      <c r="L121" s="2100"/>
      <c r="M121" s="2100"/>
      <c r="N121" s="898"/>
      <c r="O121" s="2100">
        <v>1988</v>
      </c>
      <c r="P121" s="2100"/>
      <c r="Q121" s="2100"/>
      <c r="R121" s="2100"/>
      <c r="S121" s="898"/>
      <c r="T121" s="2100">
        <v>2788</v>
      </c>
      <c r="U121" s="2100"/>
      <c r="V121" s="2100"/>
      <c r="W121" s="2100"/>
      <c r="X121" s="898"/>
      <c r="Y121" s="2100">
        <v>3362</v>
      </c>
      <c r="Z121" s="2100"/>
      <c r="AA121" s="2100"/>
      <c r="AB121" s="2100"/>
      <c r="AC121" s="898"/>
      <c r="AD121" s="2100"/>
      <c r="AE121" s="2100"/>
      <c r="AF121" s="2100"/>
      <c r="AG121" s="2100"/>
      <c r="AH121" s="611"/>
      <c r="AI121" s="611"/>
      <c r="AJ121" s="613"/>
      <c r="AK121" s="574"/>
      <c r="AL121" s="574"/>
      <c r="AM121" s="574"/>
      <c r="AN121" s="569"/>
      <c r="AO121" s="570" t="str">
        <f>Application!B733</f>
        <v>3 Bedrooms</v>
      </c>
      <c r="AQ121" s="570">
        <f>Application!O733</f>
        <v>2019</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4 Bedrooms</v>
      </c>
      <c r="AQ122" s="570">
        <f>Application!O734</f>
        <v>758</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4 Bedrooms</v>
      </c>
      <c r="AQ123" s="570">
        <f>Application!O735</f>
        <v>1489</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1233.359375</v>
      </c>
      <c r="K124" s="2108"/>
      <c r="L124" s="2108"/>
      <c r="M124" s="2108"/>
      <c r="N124" s="898"/>
      <c r="O124" s="2108">
        <f>Application!EH670</f>
        <v>1471.9347826086955</v>
      </c>
      <c r="P124" s="2108"/>
      <c r="Q124" s="2108"/>
      <c r="R124" s="2108"/>
      <c r="S124" s="902"/>
      <c r="T124" s="2108">
        <f>Application!EM670</f>
        <v>1679.4912280701753</v>
      </c>
      <c r="U124" s="2108"/>
      <c r="V124" s="2108"/>
      <c r="W124" s="2108"/>
      <c r="X124" s="902"/>
      <c r="Y124" s="2108">
        <f>Application!ER670</f>
        <v>1821.8636363636363</v>
      </c>
      <c r="Z124" s="2108"/>
      <c r="AA124" s="2108"/>
      <c r="AB124" s="2108"/>
      <c r="AC124" s="902"/>
      <c r="AD124" s="2108">
        <f>Application!EW670</f>
        <v>0</v>
      </c>
      <c r="AE124" s="2108"/>
      <c r="AF124" s="2108"/>
      <c r="AG124" s="2108"/>
      <c r="AH124" s="611"/>
      <c r="AI124" s="611"/>
      <c r="AJ124" s="613"/>
      <c r="AK124" s="574"/>
      <c r="AL124" s="574"/>
      <c r="AM124" s="574"/>
      <c r="AN124" s="569"/>
      <c r="AO124" s="570" t="str">
        <f>Application!B736</f>
        <v>4 Bedrooms</v>
      </c>
      <c r="AQ124" s="570">
        <f>Application!O736</f>
        <v>1855</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4 Bedrooms</v>
      </c>
      <c r="AQ125" s="570">
        <f>Application!O737</f>
        <v>2221</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0.37329300050813008</v>
      </c>
      <c r="K127" s="1901"/>
      <c r="L127" s="1901"/>
      <c r="M127" s="1902"/>
      <c r="N127" s="611"/>
      <c r="O127" s="1900">
        <f>(O121-O124)/O121</f>
        <v>0.25959014959321153</v>
      </c>
      <c r="P127" s="1901"/>
      <c r="Q127" s="1901"/>
      <c r="R127" s="1902"/>
      <c r="S127" s="611"/>
      <c r="T127" s="1900">
        <f>(T121-T124)/T121</f>
        <v>0.39759998993178791</v>
      </c>
      <c r="U127" s="1901"/>
      <c r="V127" s="1901"/>
      <c r="W127" s="1902"/>
      <c r="X127" s="611"/>
      <c r="Y127" s="1900">
        <f>(Y121-Y124)/Y121</f>
        <v>0.45810123844032236</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9.2543661547726586E-2</v>
      </c>
      <c r="K130" s="2111"/>
      <c r="L130" s="2111"/>
      <c r="M130" s="2112"/>
      <c r="N130" s="611"/>
      <c r="O130" s="2110">
        <f>IF(((O127-0.1)*AW112)&gt;0,((O127-0.1)*AW112),0)</f>
        <v>3.884204699094037E-2</v>
      </c>
      <c r="P130" s="2111"/>
      <c r="Q130" s="2111"/>
      <c r="R130" s="2112"/>
      <c r="S130" s="611"/>
      <c r="T130" s="2110">
        <f>IF(((T127-0.1)*AW113)&gt;0,((T127-0.1)*AW113),0)</f>
        <v>8.9752377915936044E-2</v>
      </c>
      <c r="U130" s="2111"/>
      <c r="V130" s="2111"/>
      <c r="W130" s="2112"/>
      <c r="X130" s="611"/>
      <c r="Y130" s="2110">
        <f>IF(((Y127-0.1)*AW114)&gt;0,((Y127-0.1)*AW114),0)</f>
        <v>4.168374204067244E-2</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0.26</v>
      </c>
      <c r="F132" s="1901"/>
      <c r="G132" s="1901"/>
      <c r="H132" s="190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7" t="s">
        <v>1426</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1450</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2759</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9" t="s">
        <v>1453</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1454</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9" t="s">
        <v>1455</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1464</v>
      </c>
      <c r="AG157" s="1994"/>
      <c r="AH157" s="1994"/>
      <c r="AI157" s="1994"/>
      <c r="AJ157" s="1994"/>
      <c r="AK157" s="1994"/>
      <c r="AL157" s="199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1462</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9" t="s">
        <v>1455</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8" t="s">
        <v>2713</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1426</v>
      </c>
      <c r="AF175" s="1927"/>
      <c r="AG175" s="1927"/>
      <c r="AH175" s="1927"/>
      <c r="AI175" s="1927"/>
      <c r="AJ175" s="1927"/>
      <c r="AK175" s="192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6" t="s">
        <v>1481</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1475</v>
      </c>
      <c r="AG177" s="1994"/>
      <c r="AH177" s="1994"/>
      <c r="AI177" s="1994"/>
      <c r="AJ177" s="1994"/>
      <c r="AK177" s="1994"/>
      <c r="AL177" s="1994"/>
      <c r="AN177" s="631"/>
      <c r="AP177" s="584" t="s">
        <v>1068</v>
      </c>
      <c r="AQ177" s="584">
        <v>10</v>
      </c>
    </row>
    <row r="178" spans="1:45" s="584" customFormat="1" ht="12.75" customHeight="1">
      <c r="A178" s="570"/>
      <c r="B178" s="2087" t="s">
        <v>1917</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1">
        <f>IF(AK78&gt;0,VLOOKUP($B$177,AP174:AQ180,2,FALSE),0)</f>
        <v>10</v>
      </c>
      <c r="AL180" s="1922"/>
      <c r="AM180" s="192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1484</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2739</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f>Application!AM555</f>
        <v>6000000</v>
      </c>
      <c r="AE188" s="2070"/>
      <c r="AF188" s="2070"/>
      <c r="AG188" s="2070"/>
      <c r="AH188" s="2070"/>
      <c r="AI188" s="2070"/>
      <c r="AJ188" s="2070"/>
      <c r="AK188" s="644"/>
    </row>
    <row r="189" spans="1:45">
      <c r="A189" s="639"/>
      <c r="B189" s="2080" t="s">
        <v>1388</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f>Application!AO628</f>
        <v>1600000</v>
      </c>
      <c r="AE189" s="2070"/>
      <c r="AF189" s="2070"/>
      <c r="AG189" s="2070"/>
      <c r="AH189" s="2070"/>
      <c r="AI189" s="2070"/>
      <c r="AJ189" s="2070"/>
      <c r="AK189" s="644"/>
    </row>
    <row r="190" spans="1:45">
      <c r="A190" s="639"/>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1740</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1703</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7600000</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1720</v>
      </c>
      <c r="J211" s="2093"/>
      <c r="K211" s="2093"/>
      <c r="L211" s="570"/>
      <c r="M211" s="570"/>
      <c r="N211" s="570"/>
      <c r="O211" s="570"/>
      <c r="P211" s="570"/>
      <c r="Q211" s="570"/>
      <c r="R211" s="570"/>
      <c r="S211" s="570"/>
      <c r="T211" s="1905" t="s">
        <v>1714</v>
      </c>
      <c r="U211" s="1905"/>
      <c r="V211" s="1905"/>
      <c r="W211" s="1905"/>
      <c r="X211" s="1905"/>
      <c r="Y211" s="1905"/>
      <c r="Z211" s="883"/>
      <c r="AA211" s="523"/>
      <c r="AB211" s="2090" t="s">
        <v>1715</v>
      </c>
      <c r="AC211" s="2090"/>
      <c r="AD211" s="2090"/>
      <c r="AE211" s="2090"/>
      <c r="AF211" s="2090"/>
      <c r="AG211" s="2090"/>
      <c r="AH211" s="861"/>
      <c r="AI211" s="861"/>
      <c r="AJ211" s="861"/>
      <c r="AK211" s="644"/>
    </row>
    <row r="212" spans="1:37">
      <c r="A212" s="639"/>
      <c r="B212" s="2091" t="s">
        <v>1700</v>
      </c>
      <c r="C212" s="2091"/>
      <c r="D212" s="2091"/>
      <c r="E212" s="2091"/>
      <c r="F212" s="2091"/>
      <c r="G212" s="2091"/>
      <c r="I212" s="2092" t="s">
        <v>1721</v>
      </c>
      <c r="J212" s="2092"/>
      <c r="K212" s="2092"/>
      <c r="L212" s="1043"/>
      <c r="N212" s="1940" t="s">
        <v>1716</v>
      </c>
      <c r="O212" s="1940"/>
      <c r="P212" s="1940"/>
      <c r="Q212" s="1940"/>
      <c r="R212" s="1940"/>
      <c r="T212" s="1940" t="s">
        <v>1717</v>
      </c>
      <c r="U212" s="1940"/>
      <c r="V212" s="1940"/>
      <c r="W212" s="1940"/>
      <c r="X212" s="1940"/>
      <c r="Y212" s="1940"/>
      <c r="Z212" s="884"/>
      <c r="AA212" s="523"/>
      <c r="AB212" s="1943" t="s">
        <v>1718</v>
      </c>
      <c r="AC212" s="1943"/>
      <c r="AD212" s="1943"/>
      <c r="AE212" s="1943"/>
      <c r="AF212" s="1943"/>
      <c r="AG212" s="1943"/>
      <c r="AH212" s="861"/>
      <c r="AI212" s="861"/>
      <c r="AJ212" s="861"/>
      <c r="AK212" s="644"/>
    </row>
    <row r="213" spans="1:37">
      <c r="A213" s="639"/>
      <c r="B213" s="1942" t="s">
        <v>1291</v>
      </c>
      <c r="C213" s="1942"/>
      <c r="D213" s="1942"/>
      <c r="E213" s="1942"/>
      <c r="F213" s="1942"/>
      <c r="G213" s="1942"/>
      <c r="H213" s="886"/>
      <c r="I213" s="1910"/>
      <c r="J213" s="1910"/>
      <c r="K213" s="1910"/>
      <c r="L213" s="1043"/>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1291</v>
      </c>
      <c r="C214" s="1942"/>
      <c r="D214" s="1942"/>
      <c r="E214" s="1942"/>
      <c r="F214" s="1942"/>
      <c r="G214" s="1942"/>
      <c r="I214" s="1910"/>
      <c r="J214" s="1910"/>
      <c r="K214" s="1910"/>
      <c r="L214" s="1043"/>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1291</v>
      </c>
      <c r="C215" s="1942"/>
      <c r="D215" s="1942"/>
      <c r="E215" s="1942"/>
      <c r="F215" s="1942"/>
      <c r="G215" s="1942"/>
      <c r="I215" s="1910"/>
      <c r="J215" s="1910"/>
      <c r="K215" s="1910"/>
      <c r="L215" s="1043"/>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1291</v>
      </c>
      <c r="C216" s="1942"/>
      <c r="D216" s="1942"/>
      <c r="E216" s="1942"/>
      <c r="F216" s="1942"/>
      <c r="G216" s="1942"/>
      <c r="I216" s="1910"/>
      <c r="J216" s="1910"/>
      <c r="K216" s="1910"/>
      <c r="L216" s="1043"/>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1291</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1291</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1291</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1291</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1291</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1291</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7600000</v>
      </c>
      <c r="AH257" s="1918"/>
      <c r="AI257" s="1918"/>
      <c r="AJ257" s="1918"/>
      <c r="AK257" s="191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70484091</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0.1</v>
      </c>
      <c r="AH259" s="2067"/>
      <c r="AI259" s="2067"/>
      <c r="AJ259" s="2067"/>
      <c r="AK259" s="2067"/>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554</v>
      </c>
      <c r="D267" s="1936"/>
      <c r="E267" s="581"/>
      <c r="F267" s="1887" t="s">
        <v>2336</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1475</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7" t="s">
        <v>1494</v>
      </c>
      <c r="B281" s="1637"/>
      <c r="C281" s="2030" t="s">
        <v>600</v>
      </c>
      <c r="D281" s="1936"/>
      <c r="E281" s="581"/>
      <c r="F281" s="2058" t="s">
        <v>1495</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2329</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2337</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1496</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1497</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7" t="s">
        <v>1498</v>
      </c>
      <c r="B291" s="1637"/>
      <c r="C291" s="1936" t="s">
        <v>554</v>
      </c>
      <c r="D291" s="1936"/>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0" t="s">
        <v>2331</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7" t="s">
        <v>1501</v>
      </c>
      <c r="B299" s="1637"/>
      <c r="C299" s="1936" t="s">
        <v>600</v>
      </c>
      <c r="D299" s="193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3" t="s">
        <v>2338</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1291</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9" t="s">
        <v>1291</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9" t="s">
        <v>1291</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7" t="s">
        <v>1504</v>
      </c>
      <c r="B322" s="1637"/>
      <c r="C322" s="1936" t="s">
        <v>600</v>
      </c>
      <c r="D322" s="1936"/>
      <c r="E322" s="581"/>
      <c r="F322" s="2037" t="s">
        <v>2339</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7" t="s">
        <v>1426</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1566</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2406</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2570</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1567</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1568</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7</v>
      </c>
      <c r="AS348" s="573" t="s">
        <v>1569</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2071</v>
      </c>
    </row>
    <row r="351" spans="1:46" s="584" customFormat="1" ht="12.75" customHeight="1">
      <c r="A351" s="637"/>
      <c r="B351" s="645"/>
      <c r="C351" s="2025" t="s">
        <v>1570</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1" t="s">
        <v>1571</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2">
        <f>Application!CS660-U363</f>
        <v>415</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4">
        <f>IF(AP364&gt;0,AP364,0)</f>
        <v>0</v>
      </c>
      <c r="AR364" s="193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5" t="s">
        <v>1573</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600</v>
      </c>
      <c r="D370" s="193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1575</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5" t="s">
        <v>1576</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600</v>
      </c>
      <c r="D378" s="193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1575</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5" t="s">
        <v>1578</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554</v>
      </c>
      <c r="D386" s="193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1580</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600</v>
      </c>
      <c r="D388" s="193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1575</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5" t="s">
        <v>1584</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1575</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554</v>
      </c>
      <c r="D398" s="193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1587</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1588</v>
      </c>
      <c r="F401" s="1925" t="s">
        <v>1589</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1575</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5" t="s">
        <v>1591</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600</v>
      </c>
      <c r="D410" s="193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1575</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1587</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5" t="s">
        <v>1595</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600</v>
      </c>
      <c r="D419" s="193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1575</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5" t="s">
        <v>1598</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600</v>
      </c>
      <c r="D431" s="193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1575</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5" t="s">
        <v>1601</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1575</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1610</v>
      </c>
      <c r="F442" s="1925" t="s">
        <v>1611</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1575</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1616</v>
      </c>
      <c r="F446" s="1925" t="s">
        <v>1617</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1575</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5" t="s">
        <v>1620</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1575</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4" t="s">
        <v>1624</v>
      </c>
      <c r="AF461" s="1924"/>
      <c r="AG461" s="1924"/>
      <c r="AH461" s="1924"/>
      <c r="AI461" s="1924"/>
      <c r="AJ461" s="1924"/>
      <c r="AK461" s="1924"/>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1" t="s">
        <v>600</v>
      </c>
      <c r="D467" s="2002"/>
      <c r="E467" s="795" t="s">
        <v>516</v>
      </c>
      <c r="F467" s="2022" t="s">
        <v>1630</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1630</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1652</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600</v>
      </c>
      <c r="D499" s="200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1660</v>
      </c>
      <c r="G508" s="1926" t="s">
        <v>1661</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1673</v>
      </c>
      <c r="AF527" s="1927"/>
      <c r="AG527" s="1927"/>
      <c r="AH527" s="1927"/>
      <c r="AI527" s="1927"/>
      <c r="AJ527" s="1927"/>
      <c r="AK527" s="192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554</v>
      </c>
      <c r="D530" s="1936"/>
      <c r="E530" s="585"/>
      <c r="F530" s="1995" t="s">
        <v>1674</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600</v>
      </c>
      <c r="D533" s="193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1676</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1677</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125040206</v>
      </c>
      <c r="AQ539" s="1908"/>
      <c r="AR539" s="1908"/>
      <c r="AS539" s="584" t="s">
        <v>2531</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62262668</v>
      </c>
      <c r="AG540" s="1918"/>
      <c r="AH540" s="1918"/>
      <c r="AI540" s="1918"/>
      <c r="AJ540" s="191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174555180.16</v>
      </c>
      <c r="AG541" s="1919"/>
      <c r="AH541" s="1919"/>
      <c r="AI541" s="1919"/>
      <c r="AJ541" s="1919"/>
      <c r="AK541" s="629"/>
      <c r="AL541" s="629"/>
      <c r="AM541" s="629"/>
      <c r="AN541" s="631"/>
      <c r="AP541" s="1908">
        <f>Application!AJ1044</f>
        <v>17505628.84</v>
      </c>
      <c r="AQ541" s="1908"/>
      <c r="AR541" s="190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0.64</v>
      </c>
      <c r="AG542" s="1920"/>
      <c r="AH542" s="1920"/>
      <c r="AI542" s="1920"/>
      <c r="AJ542" s="1920"/>
      <c r="AK542" s="629"/>
      <c r="AL542" s="629"/>
      <c r="AM542" s="629"/>
      <c r="AN542" s="631"/>
      <c r="AP542" s="1909">
        <f>Application!AJ1048</f>
        <v>27508845.32</v>
      </c>
      <c r="AQ542" s="1909"/>
      <c r="AR542" s="1909"/>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0.36</v>
      </c>
      <c r="AQ543" s="1928"/>
      <c r="AR543" s="1928"/>
      <c r="AS543" s="584" t="s">
        <v>2533</v>
      </c>
    </row>
    <row r="544" spans="1:49" s="584" customFormat="1" ht="12.75" customHeight="1">
      <c r="A544" s="658"/>
      <c r="B544" s="1974" t="s">
        <v>2343</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129540706</v>
      </c>
      <c r="AQ545" s="1929"/>
      <c r="AR545" s="1929"/>
      <c r="AS545" s="584" t="s">
        <v>2535</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174555180.16</v>
      </c>
      <c r="AQ546" s="1908"/>
      <c r="AR546" s="190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3">
        <f>IFERROR(IF(AND(C530="N/A",C533="N/A"),0,IF(AF542=0,0,IF((AF542*100)&gt;12,12,(AF542*100)))),0)</f>
        <v>12</v>
      </c>
      <c r="AL548" s="1983"/>
      <c r="AM548" s="1984"/>
      <c r="AN548" s="631"/>
      <c r="AP548" s="1897">
        <f>AP545+(AP539*AP543)</f>
        <v>174555180.16</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1426</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2334</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1450</v>
      </c>
      <c r="AG567" s="1994"/>
      <c r="AH567" s="1994"/>
      <c r="AI567" s="1994"/>
      <c r="AJ567" s="1994"/>
      <c r="AK567" s="1994"/>
      <c r="AL567" s="199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1508</v>
      </c>
      <c r="AG574" s="1994"/>
      <c r="AH574" s="1994"/>
      <c r="AI574" s="1994"/>
      <c r="AJ574" s="1994"/>
      <c r="AK574" s="1994"/>
      <c r="AL574" s="199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1490</v>
      </c>
      <c r="AG580" s="1994"/>
      <c r="AH580" s="1994"/>
      <c r="AI580" s="1994"/>
      <c r="AJ580" s="1994"/>
      <c r="AK580" s="1994"/>
      <c r="AL580" s="199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1511</v>
      </c>
      <c r="AG586" s="1994"/>
      <c r="AH586" s="1994"/>
      <c r="AI586" s="1994"/>
      <c r="AJ586" s="1994"/>
      <c r="AK586" s="1994"/>
      <c r="AL586" s="199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2058</v>
      </c>
      <c r="O590" s="2033" t="s">
        <v>1291</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1464</v>
      </c>
      <c r="AG592" s="1994"/>
      <c r="AH592" s="1994"/>
      <c r="AI592" s="1994"/>
      <c r="AJ592" s="1994"/>
      <c r="AK592" s="1994"/>
      <c r="AL592" s="199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8" t="s">
        <v>518</v>
      </c>
      <c r="I595" s="1938"/>
      <c r="J595" s="971"/>
      <c r="K595" s="971"/>
      <c r="L595" s="971"/>
      <c r="N595" s="22"/>
      <c r="O595" s="22"/>
      <c r="P595" s="22"/>
      <c r="Q595" s="1195" t="s">
        <v>2538</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0" t="s">
        <v>600</v>
      </c>
      <c r="C605" s="2030"/>
      <c r="D605" s="676"/>
      <c r="E605" s="1914" t="s">
        <v>1515</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1">
        <f>VLOOKUP($H$595,$AO$575:$AP$580,2,FALSE)+IF(R595=AO583,0,VLOOKUP($I$603,$AO$602:$AP$604,2,FALSE))</f>
        <v>6</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1885</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1464</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1520</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8" t="s">
        <v>697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1">
        <f>VLOOKUP($H$627,$AO$594:$AP$596,2,FALSE)</f>
        <v>3</v>
      </c>
      <c r="AK629" s="192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2413</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1464</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1520</v>
      </c>
      <c r="AG636" s="1994"/>
      <c r="AH636" s="1994"/>
      <c r="AI636" s="1994"/>
      <c r="AJ636" s="1994"/>
      <c r="AK636" s="1994"/>
      <c r="AL636" s="199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8" t="s">
        <v>600</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1530</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1490</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1531</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1511</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1532</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1464</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4" t="s">
        <v>1533</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1511</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4" t="s">
        <v>1534</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1464</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4" t="s">
        <v>1535</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1520</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4" t="s">
        <v>1536</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1537</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8" t="s">
        <v>697</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1">
        <f>VLOOKUP($H$674,$AO$622:$AP$629,2,FALSE)</f>
        <v>5</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189</v>
      </c>
    </row>
    <row r="680" spans="1:51" s="584" customFormat="1" ht="12.75" customHeight="1">
      <c r="A680" s="713"/>
      <c r="B680" s="570"/>
      <c r="C680" s="983"/>
      <c r="D680" s="697" t="s">
        <v>697</v>
      </c>
      <c r="E680" s="2029" t="s">
        <v>2551</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1464</v>
      </c>
      <c r="AG680" s="1994"/>
      <c r="AH680" s="1994"/>
      <c r="AI680" s="1994"/>
      <c r="AJ680" s="1994"/>
      <c r="AK680" s="1994"/>
      <c r="AL680" s="1994"/>
      <c r="AN680" s="631"/>
      <c r="AW680" s="22" t="s">
        <v>2546</v>
      </c>
      <c r="AX680" s="584">
        <f>Application!CC632</f>
        <v>57</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2547</v>
      </c>
      <c r="AX681" s="584">
        <f>Application!CH632</f>
        <v>22</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4" t="s">
        <v>2450</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1464</v>
      </c>
      <c r="AG683" s="1994"/>
      <c r="AH683" s="1994"/>
      <c r="AI683" s="1994"/>
      <c r="AJ683" s="1994"/>
      <c r="AK683" s="1994"/>
      <c r="AL683" s="1994"/>
      <c r="AN683" s="631"/>
      <c r="AW683" s="22" t="s">
        <v>2549</v>
      </c>
      <c r="AX683" s="584">
        <f>AX680+AX681+AX682</f>
        <v>79</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2550</v>
      </c>
      <c r="AX684" s="584">
        <f>IFERROR(AX683/AX679,0)</f>
        <v>0.41798941798941797</v>
      </c>
      <c r="AY684" s="584">
        <f>IFERROR(AX683/(AX679-AX678),0)</f>
        <v>0.41798941798941797</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2451</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1520</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1884</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8" t="s">
        <v>600</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1">
        <f>VLOOKUP($H$698,$AO$692:$AP$694,2,FALSE)</f>
        <v>0</v>
      </c>
      <c r="AK700" s="192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7" t="s">
        <v>1886</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1464</v>
      </c>
      <c r="AG704" s="1994"/>
      <c r="AH704" s="1994"/>
      <c r="AI704" s="1994"/>
      <c r="AJ704" s="1994"/>
      <c r="AK704" s="1994"/>
      <c r="AL704" s="1994"/>
      <c r="AM704" s="584"/>
      <c r="AN704" s="718"/>
      <c r="AP704" s="604" t="s">
        <v>1544</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8" t="s">
        <v>1547</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1520</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4" t="s">
        <v>1887</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1464</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1551</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1520</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4" t="s">
        <v>1554</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1464</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4" t="s">
        <v>1555</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1520</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8" t="s">
        <v>697</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1">
        <f>VLOOKUP($H$740,$AO$669:$AP$671,2,FALSE)</f>
        <v>3</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4" t="s">
        <v>1557</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1520</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4" t="s">
        <v>1558</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1537</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8" t="s">
        <v>697</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1">
        <f>VLOOKUP($H$752,$AO$686:$AP$688,2,FALSE)</f>
        <v>2</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4" t="s">
        <v>1883</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1520</v>
      </c>
      <c r="AG758" s="1994"/>
      <c r="AH758" s="1994"/>
      <c r="AI758" s="1994"/>
      <c r="AJ758" s="1994"/>
      <c r="AK758" s="1994"/>
      <c r="AL758" s="1994"/>
      <c r="AM758" s="647"/>
      <c r="AN758" s="718"/>
      <c r="AO758" s="584" t="s">
        <v>600</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1888</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1464</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4" t="s">
        <v>2344</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1464</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8" t="s">
        <v>600</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1681</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1682</v>
      </c>
      <c r="U791" s="1989"/>
      <c r="V791" s="1989"/>
      <c r="W791" s="1989"/>
      <c r="X791" s="1989"/>
      <c r="Y791" s="1990"/>
      <c r="Z791" s="1988" t="s">
        <v>1683</v>
      </c>
      <c r="AA791" s="1989"/>
      <c r="AB791" s="1989"/>
      <c r="AC791" s="1989"/>
      <c r="AD791" s="1989"/>
      <c r="AE791" s="1990"/>
      <c r="AF791" s="1988" t="s">
        <v>1684</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767</v>
      </c>
      <c r="B793" s="1945" t="s">
        <v>1416</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1654</v>
      </c>
      <c r="B794" s="1945" t="s">
        <v>1425</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1663</v>
      </c>
      <c r="B795" s="1945" t="s">
        <v>1435</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1685</v>
      </c>
      <c r="B796" s="1945" t="s">
        <v>1445</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1686</v>
      </c>
      <c r="B797" s="1945" t="s">
        <v>1687</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1688</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1689</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1473</v>
      </c>
      <c r="B800" s="1945" t="s">
        <v>1690</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1482</v>
      </c>
      <c r="B801" s="1945" t="s">
        <v>1483</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598</v>
      </c>
      <c r="B802" s="1945" t="s">
        <v>1691</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5" t="s">
        <v>1692</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5" t="s">
        <v>1493</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5" t="s">
        <v>1672</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5" t="s">
        <v>1694</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1695</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1696</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1697</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L12" sqref="L1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1698</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44045612</v>
      </c>
      <c r="I3" s="1145"/>
    </row>
    <row r="4" spans="1:13" s="1086" customFormat="1" ht="20.100000000000001" customHeight="1">
      <c r="B4" s="1134"/>
      <c r="D4" s="1148"/>
      <c r="F4" s="1132" t="s">
        <v>2299</v>
      </c>
      <c r="G4" s="1131" t="s">
        <v>2298</v>
      </c>
      <c r="H4" s="1133">
        <f>I16</f>
        <v>41305994.008169934</v>
      </c>
      <c r="I4" s="1135"/>
      <c r="K4" s="1090"/>
    </row>
    <row r="5" spans="1:13" s="1086" customFormat="1" ht="20.100000000000001" customHeight="1" thickBot="1">
      <c r="B5" s="1136"/>
      <c r="C5" s="1137"/>
      <c r="D5" s="1149"/>
      <c r="E5" s="1138"/>
      <c r="F5" s="1149" t="s">
        <v>2239</v>
      </c>
      <c r="G5" s="1150"/>
      <c r="H5" s="1146">
        <f>H3/H4</f>
        <v>1.0663249501098604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2237</v>
      </c>
      <c r="C8" s="2149"/>
      <c r="D8" s="2149"/>
      <c r="E8" s="2150"/>
      <c r="G8" s="2151" t="s">
        <v>2238</v>
      </c>
      <c r="H8" s="2152"/>
      <c r="I8" s="2153"/>
      <c r="K8" s="1092"/>
    </row>
    <row r="9" spans="1:13" ht="15" customHeight="1">
      <c r="A9" s="1081"/>
      <c r="B9" s="2142" t="s">
        <v>2276</v>
      </c>
      <c r="C9" s="2142"/>
      <c r="D9" s="2142"/>
      <c r="E9" s="1094">
        <f>G31</f>
        <v>12162500</v>
      </c>
      <c r="G9" s="2145" t="s">
        <v>2274</v>
      </c>
      <c r="H9" s="2145"/>
      <c r="I9" s="1095">
        <f>Application!AM554</f>
        <v>34410000</v>
      </c>
      <c r="K9" s="1096"/>
      <c r="M9" s="1097"/>
    </row>
    <row r="10" spans="1:13" ht="15" customHeight="1" thickBot="1">
      <c r="A10" s="1081"/>
      <c r="B10" s="2142" t="s">
        <v>2277</v>
      </c>
      <c r="C10" s="2142"/>
      <c r="D10" s="2142"/>
      <c r="E10" s="1095">
        <f>G40</f>
        <v>21713112</v>
      </c>
      <c r="G10" s="2145" t="s">
        <v>2240</v>
      </c>
      <c r="H10" s="2145"/>
      <c r="I10" s="1182">
        <f>'Basis &amp; Credits'!AB77</f>
        <v>9573068</v>
      </c>
      <c r="M10" s="1097"/>
    </row>
    <row r="11" spans="1:13" ht="15" customHeight="1">
      <c r="A11" s="1098"/>
      <c r="B11" s="2142" t="s">
        <v>2278</v>
      </c>
      <c r="C11" s="2142"/>
      <c r="D11" s="2142"/>
      <c r="E11" s="1095">
        <f>G49</f>
        <v>0</v>
      </c>
      <c r="G11" s="2145" t="s">
        <v>2289</v>
      </c>
      <c r="H11" s="2145"/>
      <c r="I11" s="1181">
        <f>I9+I10</f>
        <v>43983068</v>
      </c>
      <c r="M11" s="1097"/>
    </row>
    <row r="12" spans="1:13" ht="15" customHeight="1">
      <c r="A12" s="1084"/>
      <c r="B12" s="2142" t="s">
        <v>2279</v>
      </c>
      <c r="C12" s="2142"/>
      <c r="D12" s="2142"/>
      <c r="E12" s="1095">
        <f>G58</f>
        <v>440000</v>
      </c>
      <c r="G12" s="1183" t="s">
        <v>2314</v>
      </c>
      <c r="H12" s="1184"/>
      <c r="M12" s="1097"/>
    </row>
    <row r="13" spans="1:13" ht="15" customHeight="1">
      <c r="A13" s="1081"/>
      <c r="B13" s="2142" t="s">
        <v>2280</v>
      </c>
      <c r="C13" s="2142"/>
      <c r="D13" s="2142"/>
      <c r="E13" s="1100">
        <f>G83</f>
        <v>9730000</v>
      </c>
      <c r="G13" s="2146" t="s">
        <v>139</v>
      </c>
      <c r="H13" s="2146"/>
      <c r="I13" s="1099">
        <f>15%*(Application!AJ993&gt;0)</f>
        <v>0</v>
      </c>
      <c r="M13" s="1097"/>
    </row>
    <row r="14" spans="1:13" ht="15" customHeight="1">
      <c r="A14" s="1081"/>
      <c r="B14" s="2142" t="s">
        <v>2281</v>
      </c>
      <c r="C14" s="2142"/>
      <c r="D14" s="2142"/>
      <c r="E14" s="1095">
        <f>IF(G96&gt;G106,G96,0)</f>
        <v>0</v>
      </c>
      <c r="G14" s="1179" t="s">
        <v>2290</v>
      </c>
      <c r="H14" s="1179"/>
      <c r="I14" s="1099">
        <f>IF(Application!AJ1031&gt;0,10%,IF(Application!AJ1035&gt;0,5%,0))</f>
        <v>0</v>
      </c>
      <c r="M14" s="1097"/>
    </row>
    <row r="15" spans="1:13" ht="15" customHeight="1" thickBot="1">
      <c r="A15" s="1081"/>
      <c r="B15" s="2143" t="s">
        <v>2300</v>
      </c>
      <c r="C15" s="2143"/>
      <c r="D15" s="2143"/>
      <c r="E15" s="1151">
        <f>IF(E14&gt;0,0,G106)</f>
        <v>0</v>
      </c>
      <c r="G15" s="2140" t="s">
        <v>2291</v>
      </c>
      <c r="H15" s="2141"/>
      <c r="I15" s="1153">
        <f>G114</f>
        <v>6.0866013071895424E-2</v>
      </c>
      <c r="M15" s="1097"/>
    </row>
    <row r="16" spans="1:13" ht="15" customHeight="1">
      <c r="A16" s="1081"/>
      <c r="B16" s="2144" t="s">
        <v>2236</v>
      </c>
      <c r="C16" s="2144"/>
      <c r="D16" s="2144"/>
      <c r="E16" s="1152">
        <f>SUM(E9:E15)</f>
        <v>44045612</v>
      </c>
      <c r="G16" s="1180" t="s">
        <v>2275</v>
      </c>
      <c r="H16" s="1180"/>
      <c r="I16" s="1154">
        <f>I11-((I11*I13)+(I11*I14)+(I11*I15))</f>
        <v>41305994.008169934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189</v>
      </c>
      <c r="O18" s="1124" t="s">
        <v>591</v>
      </c>
      <c r="P18" s="1079">
        <f>MATCH(Application!T189,Application!BV490:BV547,0)</f>
        <v>19</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8" t="s">
        <v>2293</v>
      </c>
      <c r="D20" s="2138" t="s">
        <v>2294</v>
      </c>
      <c r="E20" s="2138" t="s">
        <v>2295</v>
      </c>
      <c r="F20" s="2138" t="s">
        <v>2296</v>
      </c>
      <c r="G20" s="2138" t="s">
        <v>2292</v>
      </c>
      <c r="H20" s="1108"/>
      <c r="I20" s="1107"/>
      <c r="L20" s="1079">
        <f>IFERROR(MIN(4,MATCH(Application!B718,UnitSizes,0)-1),"")</f>
        <v>1</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1</v>
      </c>
      <c r="M21" s="1101">
        <f>Application!G719</f>
        <v>9</v>
      </c>
      <c r="N21" s="1109">
        <f>Application!AC719</f>
        <v>0.5</v>
      </c>
      <c r="O21" s="1109">
        <f>IF(Cdlac[[#This Row],[Quantity]]&gt;0,IF(Cdlac[[#This Row],[Federal]],30%,IF($G$36,40%,Cdlac[[#This Row],[iAMI]])),"")</f>
        <v>0.5</v>
      </c>
      <c r="P21" s="1101" cm="1">
        <f t="array" ref="P21">IF(Cdlac[[#This Row],[Quantity]]&gt;0,INDEX(TcacRents,$P$18,Cdlac[[#This Row],[Bedrooms]]+1)*Cdlac[[#This Row],[AMI]],"")</f>
        <v>1182</v>
      </c>
      <c r="Q21" s="1101" cm="1">
        <f t="array" ref="Q21">IF(Cdlac[[#This Row],[Quantity]]&gt;0,INDEX(HudFmrs,$P$18,Cdlac[[#This Row],[Bedrooms]]+1),"")</f>
        <v>1747</v>
      </c>
      <c r="R21" s="1101">
        <f>IF(Cdlac[[#This Row],[Quantity]]&gt;0,MAX(0,Cdlac[[#This Row],[Fair Market Rent]]-Cdlac[[#This Row],[Restricted Rent]]),"")</f>
        <v>565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18</v>
      </c>
      <c r="N22" s="1109">
        <f>Application!AC720</f>
        <v>0.6</v>
      </c>
      <c r="O22" s="1109">
        <f>IF(Cdlac[[#This Row],[Quantity]]&gt;0,IF(Cdlac[[#This Row],[Federal]],30%,IF($G$36,40%,Cdlac[[#This Row],[iAMI]])),"")</f>
        <v>0.6</v>
      </c>
      <c r="P22" s="1101" cm="1">
        <f t="array" ref="P22">IF(Cdlac[[#This Row],[Quantity]]&gt;0,INDEX(TcacRents,$P$18,Cdlac[[#This Row],[Bedrooms]]+1)*Cdlac[[#This Row],[AMI]],"")</f>
        <v>1418.3999999999999</v>
      </c>
      <c r="Q22" s="1101" cm="1">
        <f t="array" ref="Q22">IF(Cdlac[[#This Row],[Quantity]]&gt;0,INDEX(HudFmrs,$P$18,Cdlac[[#This Row],[Bedrooms]]+1),"")</f>
        <v>1747</v>
      </c>
      <c r="R22" s="1101">
        <f>IF(Cdlac[[#This Row],[Quantity]]&gt;0,MAX(0,Cdlac[[#This Row],[Fair Market Rent]]-Cdlac[[#This Row],[Restricted Rent]]),"")</f>
        <v>328.60000000000014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64</v>
      </c>
      <c r="F23" s="1110">
        <f>E23</f>
        <v>64</v>
      </c>
      <c r="G23" s="1110">
        <f>D23*F23</f>
        <v>64</v>
      </c>
      <c r="L23" s="1079">
        <f>IFERROR(MIN(4,MATCH(Application!B721,UnitSizes,0)-1),"")</f>
        <v>1</v>
      </c>
      <c r="M23" s="1101">
        <f>Application!G721</f>
        <v>30</v>
      </c>
      <c r="N23" s="1109">
        <f>Application!AC721</f>
        <v>0.7</v>
      </c>
      <c r="O23" s="1109">
        <f>IF(Cdlac[[#This Row],[Quantity]]&gt;0,IF(Cdlac[[#This Row],[Federal]],30%,IF($G$36,40%,Cdlac[[#This Row],[iAMI]])),"")</f>
        <v>0.7</v>
      </c>
      <c r="P23" s="1101" cm="1">
        <f t="array" ref="P23">IF(Cdlac[[#This Row],[Quantity]]&gt;0,INDEX(TcacRents,$P$18,Cdlac[[#This Row],[Bedrooms]]+1)*Cdlac[[#This Row],[AMI]],"")</f>
        <v>1654.8</v>
      </c>
      <c r="Q23" s="1101" cm="1">
        <f t="array" ref="Q23">IF(Cdlac[[#This Row],[Quantity]]&gt;0,INDEX(HudFmrs,$P$18,Cdlac[[#This Row],[Bedrooms]]+1),"")</f>
        <v>1747</v>
      </c>
      <c r="R23" s="1101">
        <f>IF(Cdlac[[#This Row],[Quantity]]&gt;0,MAX(0,Cdlac[[#This Row],[Fair Market Rent]]-Cdlac[[#This Row],[Restricted Rent]]),"")</f>
        <v>92.200000000000045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46</v>
      </c>
      <c r="F24" s="1113">
        <f>SUM(E24:E26)-SUM(F25:F26)</f>
        <v>51</v>
      </c>
      <c r="G24" s="1110">
        <f>D24*F24</f>
        <v>63.75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850.8</v>
      </c>
      <c r="Q24" s="1101" cm="1">
        <f t="array" ref="Q24">IF(Cdlac[[#This Row],[Quantity]]&gt;0,INDEX(HudFmrs,$P$18,Cdlac[[#This Row],[Bedrooms]]+1),"")</f>
        <v>2222</v>
      </c>
      <c r="R24" s="1101">
        <f>IF(Cdlac[[#This Row],[Quantity]]&gt;0,MAX(0,Cdlac[[#This Row],[Fair Market Rent]]-Cdlac[[#This Row],[Restricted Rent]]),"")</f>
        <v>1371.2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57</v>
      </c>
      <c r="F25" s="1113">
        <f>MIN(E25,ROUNDDOWN(E27*30%,0))</f>
        <v>56</v>
      </c>
      <c r="G25" s="1110">
        <f>D25*F25</f>
        <v>84</v>
      </c>
      <c r="H25" s="1112"/>
      <c r="I25" s="1112"/>
      <c r="L25" s="1079">
        <f>IFERROR(MIN(4,MATCH(Application!B723,UnitSizes,0)-1),"")</f>
        <v>2</v>
      </c>
      <c r="M25" s="1101">
        <f>Application!G723</f>
        <v>7</v>
      </c>
      <c r="N25" s="1109">
        <f>Application!AC723</f>
        <v>0.5</v>
      </c>
      <c r="O25" s="1109">
        <f>IF(Cdlac[[#This Row],[Quantity]]&gt;0,IF(Cdlac[[#This Row],[Federal]],30%,IF($G$36,40%,Cdlac[[#This Row],[iAMI]])),"")</f>
        <v>0.5</v>
      </c>
      <c r="P25" s="1101" cm="1">
        <f t="array" ref="P25">IF(Cdlac[[#This Row],[Quantity]]&gt;0,INDEX(TcacRents,$P$18,Cdlac[[#This Row],[Bedrooms]]+1)*Cdlac[[#This Row],[AMI]],"")</f>
        <v>1418</v>
      </c>
      <c r="Q25" s="1101" cm="1">
        <f t="array" ref="Q25">IF(Cdlac[[#This Row],[Quantity]]&gt;0,INDEX(HudFmrs,$P$18,Cdlac[[#This Row],[Bedrooms]]+1),"")</f>
        <v>2222</v>
      </c>
      <c r="R25" s="1101">
        <f>IF(Cdlac[[#This Row],[Quantity]]&gt;0,MAX(0,Cdlac[[#This Row],[Fair Market Rent]]-Cdlac[[#This Row],[Restricted Rent]]),"")</f>
        <v>804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22</v>
      </c>
      <c r="F26" s="1126">
        <f>MIN(E26,ROUNDDOWN(E27*10%,0))</f>
        <v>18</v>
      </c>
      <c r="G26" s="1128">
        <f>D26*F26</f>
        <v>31.5</v>
      </c>
      <c r="H26" s="1112"/>
      <c r="I26" s="1112"/>
      <c r="L26" s="1079">
        <f>IFERROR(MIN(4,MATCH(Application!B724,UnitSizes,0)-1),"")</f>
        <v>2</v>
      </c>
      <c r="M26" s="1101">
        <f>Application!G724</f>
        <v>13</v>
      </c>
      <c r="N26" s="1109">
        <f>Application!AC724</f>
        <v>0.6</v>
      </c>
      <c r="O26" s="1109">
        <f>IF(Cdlac[[#This Row],[Quantity]]&gt;0,IF(Cdlac[[#This Row],[Federal]],30%,IF($G$36,40%,Cdlac[[#This Row],[iAMI]])),"")</f>
        <v>0.6</v>
      </c>
      <c r="P26" s="1101" cm="1">
        <f t="array" ref="P26">IF(Cdlac[[#This Row],[Quantity]]&gt;0,INDEX(TcacRents,$P$18,Cdlac[[#This Row],[Bedrooms]]+1)*Cdlac[[#This Row],[AMI]],"")</f>
        <v>1701.6</v>
      </c>
      <c r="Q26" s="1101" cm="1">
        <f t="array" ref="Q26">IF(Cdlac[[#This Row],[Quantity]]&gt;0,INDEX(HudFmrs,$P$18,Cdlac[[#This Row],[Bedrooms]]+1),"")</f>
        <v>2222</v>
      </c>
      <c r="R26" s="1101">
        <f>IF(Cdlac[[#This Row],[Quantity]]&gt;0,MAX(0,Cdlac[[#This Row],[Fair Market Rent]]-Cdlac[[#This Row],[Restricted Rent]]),"")</f>
        <v>520.40000000000009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1699</v>
      </c>
      <c r="D27" s="2155"/>
      <c r="E27" s="1129">
        <f>SUM(E22:E26)</f>
        <v>189</v>
      </c>
      <c r="F27" s="1129">
        <f>SUM(F22:F26)</f>
        <v>189</v>
      </c>
      <c r="G27" s="1130">
        <f>SUMPRODUCT(D22:D26,F22:F26)</f>
        <v>243.25</v>
      </c>
      <c r="H27" s="1112"/>
      <c r="I27" s="1112"/>
      <c r="L27" s="1079">
        <f>IFERROR(MIN(4,MATCH(Application!B725,UnitSizes,0)-1),"")</f>
        <v>2</v>
      </c>
      <c r="M27" s="1101">
        <f>Application!G725</f>
        <v>21</v>
      </c>
      <c r="N27" s="1109">
        <f>Application!AC725</f>
        <v>0.7</v>
      </c>
      <c r="O27" s="1109">
        <f>IF(Cdlac[[#This Row],[Quantity]]&gt;0,IF(Cdlac[[#This Row],[Federal]],30%,IF($G$36,40%,Cdlac[[#This Row],[iAMI]])),"")</f>
        <v>0.7</v>
      </c>
      <c r="P27" s="1101" cm="1">
        <f t="array" ref="P27">IF(Cdlac[[#This Row],[Quantity]]&gt;0,INDEX(TcacRents,$P$18,Cdlac[[#This Row],[Bedrooms]]+1)*Cdlac[[#This Row],[AMI]],"")</f>
        <v>1985.1999999999998</v>
      </c>
      <c r="Q27" s="1101" cm="1">
        <f t="array" ref="Q27">IF(Cdlac[[#This Row],[Quantity]]&gt;0,INDEX(HudFmrs,$P$18,Cdlac[[#This Row],[Bedrooms]]+1),"")</f>
        <v>2222</v>
      </c>
      <c r="R27" s="1101">
        <f>IF(Cdlac[[#This Row],[Quantity]]&gt;0,MAX(0,Cdlac[[#This Row],[Fair Market Rent]]-Cdlac[[#This Row],[Restricted Rent]]),"")</f>
        <v>236.80000000000018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983.4</v>
      </c>
      <c r="Q28" s="1101" cm="1">
        <f t="array" ref="Q28">IF(Cdlac[[#This Row],[Quantity]]&gt;0,INDEX(HudFmrs,$P$18,Cdlac[[#This Row],[Bedrooms]]+1),"")</f>
        <v>2888</v>
      </c>
      <c r="R28" s="1101">
        <f>IF(Cdlac[[#This Row],[Quantity]]&gt;0,MAX(0,Cdlac[[#This Row],[Fair Market Rent]]-Cdlac[[#This Row],[Restricted Rent]]),"")</f>
        <v>1904.6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243.25</v>
      </c>
      <c r="H29" s="1112"/>
      <c r="I29" s="1112"/>
      <c r="L29" s="1079">
        <f>IFERROR(MIN(4,MATCH(Application!B727,UnitSizes,0)-1),"")</f>
        <v>3</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1639</v>
      </c>
      <c r="Q29" s="1101" cm="1">
        <f t="array" ref="Q29">IF(Cdlac[[#This Row],[Quantity]]&gt;0,INDEX(HudFmrs,$P$18,Cdlac[[#This Row],[Bedrooms]]+1),"")</f>
        <v>2888</v>
      </c>
      <c r="R29" s="1101">
        <f>IF(Cdlac[[#This Row],[Quantity]]&gt;0,MAX(0,Cdlac[[#This Row],[Fair Market Rent]]-Cdlac[[#This Row],[Restricted Rent]]),"")</f>
        <v>1249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3</v>
      </c>
      <c r="M30" s="1101">
        <f>Application!G728</f>
        <v>4</v>
      </c>
      <c r="N30" s="1109">
        <f>Application!AC728</f>
        <v>0.6</v>
      </c>
      <c r="O30" s="1109">
        <f>IF(Cdlac[[#This Row],[Quantity]]&gt;0,IF(Cdlac[[#This Row],[Federal]],30%,IF($G$36,40%,Cdlac[[#This Row],[iAMI]])),"")</f>
        <v>0.6</v>
      </c>
      <c r="P30" s="1101" cm="1">
        <f t="array" ref="P30">IF(Cdlac[[#This Row],[Quantity]]&gt;0,INDEX(TcacRents,$P$18,Cdlac[[#This Row],[Bedrooms]]+1)*Cdlac[[#This Row],[AMI]],"")</f>
        <v>1966.8</v>
      </c>
      <c r="Q30" s="1101" cm="1">
        <f t="array" ref="Q30">IF(Cdlac[[#This Row],[Quantity]]&gt;0,INDEX(HudFmrs,$P$18,Cdlac[[#This Row],[Bedrooms]]+1),"")</f>
        <v>2888</v>
      </c>
      <c r="R30" s="1101">
        <f>IF(Cdlac[[#This Row],[Quantity]]&gt;0,MAX(0,Cdlac[[#This Row],[Fair Market Rent]]-Cdlac[[#This Row],[Restricted Rent]]),"")</f>
        <v>921.2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12162500</v>
      </c>
      <c r="H31" s="1112"/>
      <c r="I31" s="1112"/>
      <c r="L31" s="1079">
        <f>IFERROR(MIN(4,MATCH(Application!B729,UnitSizes,0)-1),"")</f>
        <v>3</v>
      </c>
      <c r="M31" s="1101">
        <f>Application!G729</f>
        <v>7</v>
      </c>
      <c r="N31" s="1109">
        <f>Application!AC729</f>
        <v>0.7</v>
      </c>
      <c r="O31" s="1109">
        <f>IF(Cdlac[[#This Row],[Quantity]]&gt;0,IF(Cdlac[[#This Row],[Federal]],30%,IF($G$36,40%,Cdlac[[#This Row],[iAMI]])),"")</f>
        <v>0.7</v>
      </c>
      <c r="P31" s="1101" cm="1">
        <f t="array" ref="P31">IF(Cdlac[[#This Row],[Quantity]]&gt;0,INDEX(TcacRents,$P$18,Cdlac[[#This Row],[Bedrooms]]+1)*Cdlac[[#This Row],[AMI]],"")</f>
        <v>2294.6</v>
      </c>
      <c r="Q31" s="1101" cm="1">
        <f t="array" ref="Q31">IF(Cdlac[[#This Row],[Quantity]]&gt;0,INDEX(HudFmrs,$P$18,Cdlac[[#This Row],[Bedrooms]]+1),"")</f>
        <v>2888</v>
      </c>
      <c r="R31" s="1101">
        <f>IF(Cdlac[[#This Row],[Quantity]]&gt;0,MAX(0,Cdlac[[#This Row],[Fair Market Rent]]-Cdlac[[#This Row],[Restricted Rent]]),"")</f>
        <v>593.40000000000009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5</v>
      </c>
      <c r="N32" s="1109">
        <f>Application!AC730</f>
        <v>0.3</v>
      </c>
      <c r="O32" s="1109">
        <f>IF(Cdlac[[#This Row],[Quantity]]&gt;0,IF(Cdlac[[#This Row],[Federal]],30%,IF($G$36,40%,Cdlac[[#This Row],[iAMI]])),"")</f>
        <v>0.3</v>
      </c>
      <c r="P32" s="1101" cm="1">
        <f t="array" ref="P32">IF(Cdlac[[#This Row],[Quantity]]&gt;0,INDEX(TcacRents,$P$18,Cdlac[[#This Row],[Bedrooms]]+1)*Cdlac[[#This Row],[AMI]],"")</f>
        <v>983.4</v>
      </c>
      <c r="Q32" s="1101" cm="1">
        <f t="array" ref="Q32">IF(Cdlac[[#This Row],[Quantity]]&gt;0,INDEX(HudFmrs,$P$18,Cdlac[[#This Row],[Bedrooms]]+1),"")</f>
        <v>2888</v>
      </c>
      <c r="R32" s="1101">
        <f>IF(Cdlac[[#This Row],[Quantity]]&gt;0,MAX(0,Cdlac[[#This Row],[Fair Market Rent]]-Cdlac[[#This Row],[Restricted Rent]]),"")</f>
        <v>1904.6</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6</v>
      </c>
      <c r="N33" s="1109">
        <f>Application!AC731</f>
        <v>0.5</v>
      </c>
      <c r="O33" s="1109">
        <f>IF(Cdlac[[#This Row],[Quantity]]&gt;0,IF(Cdlac[[#This Row],[Federal]],30%,IF($G$36,40%,Cdlac[[#This Row],[iAMI]])),"")</f>
        <v>0.5</v>
      </c>
      <c r="P33" s="1101" cm="1">
        <f t="array" ref="P33">IF(Cdlac[[#This Row],[Quantity]]&gt;0,INDEX(TcacRents,$P$18,Cdlac[[#This Row],[Bedrooms]]+1)*Cdlac[[#This Row],[AMI]],"")</f>
        <v>1639</v>
      </c>
      <c r="Q33" s="1101" cm="1">
        <f t="array" ref="Q33">IF(Cdlac[[#This Row],[Quantity]]&gt;0,INDEX(HudFmrs,$P$18,Cdlac[[#This Row],[Bedrooms]]+1),"")</f>
        <v>2888</v>
      </c>
      <c r="R33" s="1101">
        <f>IF(Cdlac[[#This Row],[Quantity]]&gt;0,MAX(0,Cdlac[[#This Row],[Fair Market Rent]]-Cdlac[[#This Row],[Restricted Rent]]),"")</f>
        <v>1249</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11</v>
      </c>
      <c r="N34" s="1109">
        <f>Application!AC732</f>
        <v>0.6</v>
      </c>
      <c r="O34" s="1109">
        <f>IF(Cdlac[[#This Row],[Quantity]]&gt;0,IF(Cdlac[[#This Row],[Federal]],30%,IF($G$36,40%,Cdlac[[#This Row],[iAMI]])),"")</f>
        <v>0.6</v>
      </c>
      <c r="P34" s="1101" cm="1">
        <f t="array" ref="P34">IF(Cdlac[[#This Row],[Quantity]]&gt;0,INDEX(TcacRents,$P$18,Cdlac[[#This Row],[Bedrooms]]+1)*Cdlac[[#This Row],[AMI]],"")</f>
        <v>1966.8</v>
      </c>
      <c r="Q34" s="1101" cm="1">
        <f t="array" ref="Q34">IF(Cdlac[[#This Row],[Quantity]]&gt;0,INDEX(HudFmrs,$P$18,Cdlac[[#This Row],[Bedrooms]]+1),"")</f>
        <v>2888</v>
      </c>
      <c r="R34" s="1101">
        <f>IF(Cdlac[[#This Row],[Quantity]]&gt;0,MAX(0,Cdlac[[#This Row],[Fair Market Rent]]-Cdlac[[#This Row],[Restricted Rent]]),"")</f>
        <v>921.2</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0.5973544973544973</v>
      </c>
      <c r="L35" s="1079">
        <f>IFERROR(MIN(4,MATCH(Application!B733,UnitSizes,0)-1),"")</f>
        <v>3</v>
      </c>
      <c r="M35" s="1101">
        <f>Application!G733</f>
        <v>20</v>
      </c>
      <c r="N35" s="1109">
        <f>Application!AC733</f>
        <v>0.7</v>
      </c>
      <c r="O35" s="1109">
        <f>IF(Cdlac[[#This Row],[Quantity]]&gt;0,IF(Cdlac[[#This Row],[Federal]],30%,IF($G$36,40%,Cdlac[[#This Row],[iAMI]])),"")</f>
        <v>0.7</v>
      </c>
      <c r="P35" s="1101" cm="1">
        <f t="array" ref="P35">IF(Cdlac[[#This Row],[Quantity]]&gt;0,INDEX(TcacRents,$P$18,Cdlac[[#This Row],[Bedrooms]]+1)*Cdlac[[#This Row],[AMI]],"")</f>
        <v>2294.6</v>
      </c>
      <c r="Q35" s="1101" cm="1">
        <f t="array" ref="Q35">IF(Cdlac[[#This Row],[Quantity]]&gt;0,INDEX(HudFmrs,$P$18,Cdlac[[#This Row],[Bedrooms]]+1),"")</f>
        <v>2888</v>
      </c>
      <c r="R35" s="1101">
        <f>IF(Cdlac[[#This Row],[Quantity]]&gt;0,MAX(0,Cdlac[[#This Row],[Fair Market Rent]]-Cdlac[[#This Row],[Restricted Rent]]),"")</f>
        <v>593.40000000000009</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2307</v>
      </c>
      <c r="G36" s="1119" t="b">
        <f>G35&lt;40%</f>
        <v>0</v>
      </c>
      <c r="L36" s="1079">
        <f>IFERROR(MIN(4,MATCH(Application!B734,UnitSizes,0)-1),"")</f>
        <v>4</v>
      </c>
      <c r="M36" s="1101">
        <f>Application!G734</f>
        <v>3</v>
      </c>
      <c r="N36" s="1109">
        <f>Application!AC734</f>
        <v>0.3</v>
      </c>
      <c r="O36" s="1109">
        <f>IF(Cdlac[[#This Row],[Quantity]]&gt;0,IF(Cdlac[[#This Row],[Federal]],30%,IF($G$36,40%,Cdlac[[#This Row],[iAMI]])),"")</f>
        <v>0.3</v>
      </c>
      <c r="P36" s="1101" cm="1">
        <f t="array" ref="P36">IF(Cdlac[[#This Row],[Quantity]]&gt;0,INDEX(TcacRents,$P$18,Cdlac[[#This Row],[Bedrooms]]+1)*Cdlac[[#This Row],[AMI]],"")</f>
        <v>1096.8</v>
      </c>
      <c r="Q36" s="1101" cm="1">
        <f t="array" ref="Q36">IF(Cdlac[[#This Row],[Quantity]]&gt;0,INDEX(HudFmrs,$P$18,Cdlac[[#This Row],[Bedrooms]]+1),"")</f>
        <v>3170</v>
      </c>
      <c r="R36" s="1101">
        <f>IF(Cdlac[[#This Row],[Quantity]]&gt;0,MAX(0,Cdlac[[#This Row],[Fair Market Rent]]-Cdlac[[#This Row],[Restricted Rent]]),"")</f>
        <v>2073.1999999999998</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4</v>
      </c>
      <c r="M37" s="1101">
        <f>Application!G735</f>
        <v>3</v>
      </c>
      <c r="N37" s="1109">
        <f>Application!AC735</f>
        <v>0.5</v>
      </c>
      <c r="O37" s="1109">
        <f>IF(Cdlac[[#This Row],[Quantity]]&gt;0,IF(Cdlac[[#This Row],[Federal]],30%,IF($G$36,40%,Cdlac[[#This Row],[iAMI]])),"")</f>
        <v>0.5</v>
      </c>
      <c r="P37" s="1101" cm="1">
        <f t="array" ref="P37">IF(Cdlac[[#This Row],[Quantity]]&gt;0,INDEX(TcacRents,$P$18,Cdlac[[#This Row],[Bedrooms]]+1)*Cdlac[[#This Row],[AMI]],"")</f>
        <v>1828</v>
      </c>
      <c r="Q37" s="1101" cm="1">
        <f t="array" ref="Q37">IF(Cdlac[[#This Row],[Quantity]]&gt;0,INDEX(HudFmrs,$P$18,Cdlac[[#This Row],[Bedrooms]]+1),"")</f>
        <v>3170</v>
      </c>
      <c r="R37" s="1101">
        <f>IF(Cdlac[[#This Row],[Quantity]]&gt;0,MAX(0,Cdlac[[#This Row],[Fair Market Rent]]-Cdlac[[#This Row],[Restricted Rent]]),"")</f>
        <v>1342</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2248</v>
      </c>
      <c r="G38" s="1116">
        <f>SUMPRODUCT(Cdlac[Quantity],Cdlac[Delta])</f>
        <v>120628.40000000001</v>
      </c>
      <c r="L38" s="1079">
        <f>IFERROR(MIN(4,MATCH(Application!B736,UnitSizes,0)-1),"")</f>
        <v>4</v>
      </c>
      <c r="M38" s="1101">
        <f>Application!G736</f>
        <v>6</v>
      </c>
      <c r="N38" s="1109">
        <f>Application!AC736</f>
        <v>0.6</v>
      </c>
      <c r="O38" s="1109">
        <f>IF(Cdlac[[#This Row],[Quantity]]&gt;0,IF(Cdlac[[#This Row],[Federal]],30%,IF($G$36,40%,Cdlac[[#This Row],[iAMI]])),"")</f>
        <v>0.6</v>
      </c>
      <c r="P38" s="1101" cm="1">
        <f t="array" ref="P38">IF(Cdlac[[#This Row],[Quantity]]&gt;0,INDEX(TcacRents,$P$18,Cdlac[[#This Row],[Bedrooms]]+1)*Cdlac[[#This Row],[AMI]],"")</f>
        <v>2193.6</v>
      </c>
      <c r="Q38" s="1101" cm="1">
        <f t="array" ref="Q38">IF(Cdlac[[#This Row],[Quantity]]&gt;0,INDEX(HudFmrs,$P$18,Cdlac[[#This Row],[Bedrooms]]+1),"")</f>
        <v>3170</v>
      </c>
      <c r="R38" s="1101">
        <f>IF(Cdlac[[#This Row],[Quantity]]&gt;0,MAX(0,Cdlac[[#This Row],[Fair Market Rent]]-Cdlac[[#This Row],[Restricted Rent]]),"")</f>
        <v>976.40000000000009</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2313</v>
      </c>
      <c r="F39" s="1155" t="s">
        <v>2301</v>
      </c>
      <c r="G39" s="1163">
        <f>12*15</f>
        <v>180</v>
      </c>
      <c r="L39" s="1079">
        <f>IFERROR(MIN(4,MATCH(Application!B737,UnitSizes,0)-1),"")</f>
        <v>4</v>
      </c>
      <c r="M39" s="1101">
        <f>Application!G737</f>
        <v>10</v>
      </c>
      <c r="N39" s="1109">
        <f>Application!AC737</f>
        <v>0.7</v>
      </c>
      <c r="O39" s="1109">
        <f>IF(Cdlac[[#This Row],[Quantity]]&gt;0,IF(Cdlac[[#This Row],[Federal]],30%,IF($G$36,40%,Cdlac[[#This Row],[iAMI]])),"")</f>
        <v>0.7</v>
      </c>
      <c r="P39" s="1101" cm="1">
        <f t="array" ref="P39">IF(Cdlac[[#This Row],[Quantity]]&gt;0,INDEX(TcacRents,$P$18,Cdlac[[#This Row],[Bedrooms]]+1)*Cdlac[[#This Row],[AMI]],"")</f>
        <v>2559.1999999999998</v>
      </c>
      <c r="Q39" s="1101" cm="1">
        <f t="array" ref="Q39">IF(Cdlac[[#This Row],[Quantity]]&gt;0,INDEX(HudFmrs,$P$18,Cdlac[[#This Row],[Bedrooms]]+1),"")</f>
        <v>3170</v>
      </c>
      <c r="R39" s="1101">
        <f>IF(Cdlac[[#This Row],[Quantity]]&gt;0,MAX(0,Cdlac[[#This Row],[Fair Market Rent]]-Cdlac[[#This Row],[Restricted Rent]]),"")</f>
        <v>610.80000000000018</v>
      </c>
      <c r="S39" s="1079">
        <f>IF(Cdlac[[#This Row],[Quantity]]&gt;0,AND(Application!AK737&lt;&gt;"N/A",Application!AK737&lt;&gt;"")*Cdlac[[#This Row],[Quantity]],"")</f>
        <v>0</v>
      </c>
      <c r="T39" s="1079" t="b">
        <f>AND('Subsidy Contract Calculation'!F23&gt;0,'Subsidy Contract Calculation'!C23="Federal",Cdlac[[#This Row],[Quantity]]&gt;0)</f>
        <v>0</v>
      </c>
    </row>
    <row r="40" spans="2:20" ht="15" customHeight="1">
      <c r="E40" s="1164" t="s">
        <v>2241</v>
      </c>
      <c r="F40" s="1081"/>
      <c r="G40" s="1165">
        <f>G38*G39</f>
        <v>21713112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94</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22</v>
      </c>
    </row>
    <row r="54" spans="2:14" ht="15" customHeight="1">
      <c r="E54" s="1159" t="s">
        <v>2303</v>
      </c>
      <c r="G54" s="1117">
        <f>ROUNDDOWN(E27*50%,0)</f>
        <v>94</v>
      </c>
    </row>
    <row r="55" spans="2:14" ht="15" customHeight="1">
      <c r="E55" s="1159"/>
      <c r="G55" s="1117"/>
    </row>
    <row r="56" spans="2:14" ht="15" customHeight="1">
      <c r="E56" s="1159" t="s">
        <v>2254</v>
      </c>
      <c r="G56" s="1156">
        <f>MIN(G53:G54)</f>
        <v>22</v>
      </c>
    </row>
    <row r="57" spans="2:14" ht="15" customHeight="1">
      <c r="E57" s="1159" t="s">
        <v>2244</v>
      </c>
      <c r="F57" s="1155" t="s">
        <v>2301</v>
      </c>
      <c r="G57" s="1166">
        <v>20000</v>
      </c>
    </row>
    <row r="58" spans="2:14" ht="15" customHeight="1">
      <c r="E58" s="1160" t="s">
        <v>2283</v>
      </c>
      <c r="F58" s="1081"/>
      <c r="G58" s="1165">
        <f>G56*G57</f>
        <v>440000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6</v>
      </c>
      <c r="L62" s="1169" t="str">
        <f>'Points System'!H627</f>
        <v>(i)</v>
      </c>
      <c r="M62" s="2156" t="s">
        <v>1517</v>
      </c>
      <c r="N62" s="2157"/>
    </row>
    <row r="63" spans="2:14" ht="15" customHeight="1">
      <c r="E63" s="1124" t="s">
        <v>2244</v>
      </c>
      <c r="F63" s="1155" t="s">
        <v>2301</v>
      </c>
      <c r="G63" s="1114">
        <v>4000</v>
      </c>
      <c r="L63" s="1170" t="str">
        <f>'Points System'!H639</f>
        <v>N/A</v>
      </c>
      <c r="M63" s="2158" t="s">
        <v>2258</v>
      </c>
      <c r="N63" s="2159"/>
    </row>
    <row r="64" spans="2:14" ht="15" customHeight="1">
      <c r="E64" s="1124" t="s">
        <v>2305</v>
      </c>
      <c r="F64" s="1155" t="s">
        <v>2301</v>
      </c>
      <c r="G64" s="1168">
        <f>G27</f>
        <v>243.25</v>
      </c>
      <c r="L64" s="1170" t="str">
        <f>'Points System'!H674</f>
        <v>(i)</v>
      </c>
      <c r="M64" s="2158" t="s">
        <v>2259</v>
      </c>
      <c r="N64" s="2159"/>
    </row>
    <row r="65" spans="2:14" ht="15" customHeight="1">
      <c r="E65" s="1160" t="s">
        <v>2263</v>
      </c>
      <c r="F65" s="1081"/>
      <c r="G65" s="1165">
        <f>G62*G63*G64</f>
        <v>5838000</v>
      </c>
      <c r="L65" s="1170" t="str">
        <f>IF(OR('Points System'!H698="(ii)",'Points System'!H698="(i)"),"(i)","N/A")</f>
        <v>N/A</v>
      </c>
      <c r="M65" s="2158" t="s">
        <v>2260</v>
      </c>
      <c r="N65" s="2159"/>
    </row>
    <row r="66" spans="2:14" ht="15" customHeight="1">
      <c r="C66" s="1115"/>
      <c r="G66" s="1156"/>
      <c r="L66" s="1171" t="str">
        <f>'Points System'!H712</f>
        <v>N/A</v>
      </c>
      <c r="M66" s="2158" t="s">
        <v>1543</v>
      </c>
      <c r="N66" s="2159"/>
    </row>
    <row r="67" spans="2:14" ht="15" customHeight="1">
      <c r="E67" s="1124" t="s">
        <v>2306</v>
      </c>
      <c r="G67" s="1168">
        <f>COUNTIFS(L62:L69,"(i)")</f>
        <v>4</v>
      </c>
      <c r="L67" s="1170" t="str">
        <f>'Points System'!H724</f>
        <v>N/A</v>
      </c>
      <c r="M67" s="2158" t="s">
        <v>2261</v>
      </c>
      <c r="N67" s="2159"/>
    </row>
    <row r="68" spans="2:14" ht="15" customHeight="1">
      <c r="E68" s="1124" t="s">
        <v>2244</v>
      </c>
      <c r="F68" s="1155" t="s">
        <v>2301</v>
      </c>
      <c r="G68" s="1166">
        <v>4000</v>
      </c>
      <c r="L68" s="1170" t="str">
        <f>'Points System'!H740</f>
        <v>(i)</v>
      </c>
      <c r="M68" s="2158" t="s">
        <v>2262</v>
      </c>
      <c r="N68" s="2159"/>
    </row>
    <row r="69" spans="2:14" ht="15" customHeight="1" thickBot="1">
      <c r="E69" s="1160" t="s">
        <v>2264</v>
      </c>
      <c r="F69" s="1081"/>
      <c r="G69" s="1165">
        <f>G64*G67*G68</f>
        <v>3892000</v>
      </c>
      <c r="L69" s="1172" t="str">
        <f>'Points System'!H752</f>
        <v>(i)</v>
      </c>
      <c r="M69" s="2164" t="s">
        <v>1546</v>
      </c>
      <c r="N69" s="2165"/>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row>
    <row r="75" spans="2:14" ht="15" customHeight="1">
      <c r="C75" s="1115" t="s">
        <v>2497</v>
      </c>
      <c r="G75" s="1078"/>
    </row>
    <row r="76" spans="2:14" ht="15" customHeight="1"/>
    <row r="77" spans="2:14" ht="15" customHeight="1">
      <c r="B77" s="1116"/>
      <c r="C77" s="1115"/>
      <c r="E77" s="1124" t="s">
        <v>2308</v>
      </c>
      <c r="G77" s="1117" t="b">
        <f>COUNTIFS(G72:G75,"Yes")&gt;=1</f>
        <v>0</v>
      </c>
    </row>
    <row r="78" spans="2:14" ht="15" customHeight="1">
      <c r="E78" s="1115"/>
    </row>
    <row r="79" spans="2:14" ht="15" customHeight="1">
      <c r="E79" s="1124" t="s">
        <v>2305</v>
      </c>
      <c r="F79" s="1155" t="s">
        <v>2301</v>
      </c>
      <c r="G79" s="1156">
        <f>G27</f>
        <v>243.25</v>
      </c>
    </row>
    <row r="80" spans="2:14" ht="15" customHeight="1">
      <c r="E80" s="1124" t="s">
        <v>2244</v>
      </c>
      <c r="F80" s="1155" t="s">
        <v>2301</v>
      </c>
      <c r="G80" s="1166">
        <v>25000</v>
      </c>
    </row>
    <row r="81" spans="2:14" ht="15" customHeight="1">
      <c r="E81" s="1160" t="s">
        <v>2265</v>
      </c>
      <c r="F81" s="1081"/>
      <c r="G81" s="1165">
        <f>G77*G80*G64</f>
        <v>0</v>
      </c>
    </row>
    <row r="82" spans="2:14" ht="15" customHeight="1">
      <c r="C82" s="1115"/>
      <c r="E82" s="1115"/>
    </row>
    <row r="83" spans="2:14" ht="15" customHeight="1">
      <c r="E83" s="1160" t="s">
        <v>2242</v>
      </c>
      <c r="G83" s="1165">
        <f>G81+G69+G65</f>
        <v>9730000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554</v>
      </c>
      <c r="L87" s="2166" t="s">
        <v>2271</v>
      </c>
      <c r="M87" s="2167"/>
      <c r="N87" s="1173">
        <v>30000</v>
      </c>
    </row>
    <row r="88" spans="2:14" ht="15" customHeight="1">
      <c r="C88" s="1115" t="s">
        <v>2288</v>
      </c>
      <c r="G88" s="1119" t="str">
        <f>IF(Application!D211="Large Family","Yes","No")</f>
        <v>No</v>
      </c>
      <c r="L88" s="2160" t="s">
        <v>2235</v>
      </c>
      <c r="M88" s="2161"/>
      <c r="N88" s="1174">
        <v>20000</v>
      </c>
    </row>
    <row r="89" spans="2:14" ht="15" customHeight="1" thickBot="1">
      <c r="C89" s="1115" t="s">
        <v>2269</v>
      </c>
      <c r="G89" s="1078" t="s">
        <v>678</v>
      </c>
      <c r="L89" s="2162" t="s">
        <v>2272</v>
      </c>
      <c r="M89" s="2163"/>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243.25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678</v>
      </c>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243.25</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591</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2309</v>
      </c>
      <c r="G113" s="1116">
        <f>MEDIAN((Application!BR806:BR863))</f>
        <v>489600</v>
      </c>
    </row>
    <row r="114" spans="4:9" ht="15" customHeight="1">
      <c r="D114" s="1081"/>
      <c r="E114" s="1160" t="s">
        <v>2311</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2024-04-11T04:12:30Z</cp:lastPrinted>
  <dcterms:created xsi:type="dcterms:W3CDTF">2007-12-27T18:26:28Z</dcterms:created>
  <dcterms:modified xsi:type="dcterms:W3CDTF">2024-04-20T05:47:03Z</dcterms:modified>
</cp:coreProperties>
</file>